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/>
  <mc:AlternateContent xmlns:mc="http://schemas.openxmlformats.org/markup-compatibility/2006">
    <mc:Choice Requires="x15">
      <x15ac:absPath xmlns:x15ac="http://schemas.microsoft.com/office/spreadsheetml/2010/11/ac" url="/Users/imac/Downloads/"/>
    </mc:Choice>
  </mc:AlternateContent>
  <xr:revisionPtr revIDLastSave="0" documentId="13_ncr:1_{9C265708-26B8-9E4E-A41A-520D7176944D}" xr6:coauthVersionLast="47" xr6:coauthVersionMax="47" xr10:uidLastSave="{00000000-0000-0000-0000-000000000000}"/>
  <bookViews>
    <workbookView xWindow="0" yWindow="500" windowWidth="44800" windowHeight="23440" activeTab="9" xr2:uid="{00000000-000D-0000-FFFF-FFFF00000000}"/>
  </bookViews>
  <sheets>
    <sheet name="📝 Nhật Ký" sheetId="1" r:id="rId1"/>
    <sheet name="📊 Dashboard" sheetId="2" r:id="rId2"/>
    <sheet name="📈 Biểu Đồ" sheetId="3" r:id="rId3"/>
    <sheet name="✅ Checklist" sheetId="4" r:id="rId4"/>
    <sheet name="📋 Review Tháng" sheetId="5" r:id="rId5"/>
    <sheet name="💰 Quản Lý Vốn" sheetId="6" r:id="rId6"/>
    <sheet name="📊 Lãi Kép" sheetId="7" r:id="rId7"/>
    <sheet name="🔬 Wyckoff Tests" sheetId="8" r:id="rId8"/>
    <sheet name="⏰ Time Trading" sheetId="9" r:id="rId9"/>
    <sheet name="🏦 Lịch Sử Vốn" sheetId="10" r:id="rId10"/>
    <sheet name="⚙️ Config" sheetId="11" state="hidden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3" i="10" l="1"/>
  <c r="L3" i="1" l="1"/>
  <c r="F45" i="10"/>
  <c r="D22" i="6" s="1"/>
  <c r="D28" i="6" s="1"/>
  <c r="D29" i="6" s="1"/>
  <c r="F44" i="10"/>
  <c r="F43" i="10"/>
  <c r="F42" i="10"/>
  <c r="F41" i="10"/>
  <c r="F40" i="10"/>
  <c r="F39" i="10"/>
  <c r="F38" i="10"/>
  <c r="F37" i="10"/>
  <c r="F36" i="10"/>
  <c r="F35" i="10"/>
  <c r="F34" i="10"/>
  <c r="F33" i="10"/>
  <c r="F32" i="10"/>
  <c r="F31" i="10"/>
  <c r="F30" i="10"/>
  <c r="F29" i="10"/>
  <c r="F28" i="10"/>
  <c r="F27" i="10"/>
  <c r="F26" i="10"/>
  <c r="F25" i="10"/>
  <c r="F24" i="10"/>
  <c r="F23" i="10"/>
  <c r="F22" i="10"/>
  <c r="F21" i="10"/>
  <c r="F20" i="10"/>
  <c r="F19" i="10"/>
  <c r="F18" i="10"/>
  <c r="F17" i="10"/>
  <c r="F16" i="10"/>
  <c r="F15" i="10"/>
  <c r="F14" i="10"/>
  <c r="F13" i="10"/>
  <c r="F12" i="10"/>
  <c r="F11" i="10"/>
  <c r="F10" i="10"/>
  <c r="F9" i="10"/>
  <c r="F8" i="10"/>
  <c r="F7" i="10"/>
  <c r="F6" i="10"/>
  <c r="F5" i="10"/>
  <c r="D36" i="7"/>
  <c r="D35" i="7"/>
  <c r="D34" i="7"/>
  <c r="D26" i="7"/>
  <c r="D22" i="7"/>
  <c r="D21" i="7"/>
  <c r="D12" i="7"/>
  <c r="D11" i="7"/>
  <c r="D10" i="7"/>
  <c r="F10" i="5"/>
  <c r="F9" i="5"/>
  <c r="D9" i="5"/>
  <c r="F8" i="5"/>
  <c r="D8" i="5"/>
  <c r="F7" i="5"/>
  <c r="D7" i="5"/>
  <c r="G229" i="3"/>
  <c r="F229" i="3"/>
  <c r="D229" i="3"/>
  <c r="C229" i="3"/>
  <c r="G228" i="3"/>
  <c r="F228" i="3"/>
  <c r="D228" i="3"/>
  <c r="E228" i="3" s="1"/>
  <c r="C228" i="3"/>
  <c r="G227" i="3"/>
  <c r="F227" i="3"/>
  <c r="H227" i="3" s="1"/>
  <c r="D227" i="3"/>
  <c r="C227" i="3"/>
  <c r="G226" i="3"/>
  <c r="F226" i="3"/>
  <c r="D226" i="3"/>
  <c r="C226" i="3"/>
  <c r="G225" i="3"/>
  <c r="F225" i="3"/>
  <c r="D225" i="3"/>
  <c r="C225" i="3"/>
  <c r="G224" i="3"/>
  <c r="F224" i="3"/>
  <c r="D224" i="3"/>
  <c r="C224" i="3"/>
  <c r="G223" i="3"/>
  <c r="F223" i="3"/>
  <c r="D223" i="3"/>
  <c r="C223" i="3"/>
  <c r="G222" i="3"/>
  <c r="F222" i="3"/>
  <c r="D222" i="3"/>
  <c r="C222" i="3"/>
  <c r="G221" i="3"/>
  <c r="F221" i="3"/>
  <c r="D221" i="3"/>
  <c r="C221" i="3"/>
  <c r="G220" i="3"/>
  <c r="F220" i="3"/>
  <c r="D220" i="3"/>
  <c r="C220" i="3"/>
  <c r="G219" i="3"/>
  <c r="F219" i="3"/>
  <c r="D219" i="3"/>
  <c r="C219" i="3"/>
  <c r="G218" i="3"/>
  <c r="F218" i="3"/>
  <c r="D218" i="3"/>
  <c r="C218" i="3"/>
  <c r="G217" i="3"/>
  <c r="F217" i="3"/>
  <c r="D217" i="3"/>
  <c r="C217" i="3"/>
  <c r="G216" i="3"/>
  <c r="F216" i="3"/>
  <c r="D216" i="3"/>
  <c r="C216" i="3"/>
  <c r="G215" i="3"/>
  <c r="F215" i="3"/>
  <c r="D215" i="3"/>
  <c r="C215" i="3"/>
  <c r="G214" i="3"/>
  <c r="F214" i="3"/>
  <c r="D214" i="3"/>
  <c r="C214" i="3"/>
  <c r="G213" i="3"/>
  <c r="F213" i="3"/>
  <c r="D213" i="3"/>
  <c r="C213" i="3"/>
  <c r="G212" i="3"/>
  <c r="F212" i="3"/>
  <c r="D212" i="3"/>
  <c r="E212" i="3" s="1"/>
  <c r="C212" i="3"/>
  <c r="F204" i="3"/>
  <c r="E204" i="3"/>
  <c r="D204" i="3"/>
  <c r="C204" i="3"/>
  <c r="F203" i="3"/>
  <c r="E203" i="3"/>
  <c r="D203" i="3"/>
  <c r="C203" i="3"/>
  <c r="F202" i="3"/>
  <c r="E202" i="3"/>
  <c r="D202" i="3"/>
  <c r="C202" i="3"/>
  <c r="F201" i="3"/>
  <c r="E201" i="3"/>
  <c r="D201" i="3"/>
  <c r="C201" i="3"/>
  <c r="F200" i="3"/>
  <c r="E200" i="3"/>
  <c r="D200" i="3"/>
  <c r="C200" i="3"/>
  <c r="F199" i="3"/>
  <c r="E199" i="3"/>
  <c r="D199" i="3"/>
  <c r="C199" i="3"/>
  <c r="F198" i="3"/>
  <c r="E198" i="3"/>
  <c r="D198" i="3"/>
  <c r="C198" i="3"/>
  <c r="F197" i="3"/>
  <c r="E197" i="3"/>
  <c r="D197" i="3"/>
  <c r="C197" i="3"/>
  <c r="F196" i="3"/>
  <c r="E196" i="3"/>
  <c r="D196" i="3"/>
  <c r="C196" i="3"/>
  <c r="F195" i="3"/>
  <c r="E195" i="3"/>
  <c r="D195" i="3"/>
  <c r="C195" i="3"/>
  <c r="F194" i="3"/>
  <c r="E194" i="3"/>
  <c r="D194" i="3"/>
  <c r="C194" i="3"/>
  <c r="F193" i="3"/>
  <c r="E193" i="3"/>
  <c r="D193" i="3"/>
  <c r="C193" i="3"/>
  <c r="F192" i="3"/>
  <c r="E192" i="3"/>
  <c r="D192" i="3"/>
  <c r="C192" i="3"/>
  <c r="F191" i="3"/>
  <c r="E191" i="3"/>
  <c r="D191" i="3"/>
  <c r="C191" i="3"/>
  <c r="F190" i="3"/>
  <c r="E190" i="3"/>
  <c r="D190" i="3"/>
  <c r="C190" i="3"/>
  <c r="F189" i="3"/>
  <c r="E189" i="3"/>
  <c r="D189" i="3"/>
  <c r="C189" i="3"/>
  <c r="F188" i="3"/>
  <c r="E188" i="3"/>
  <c r="D188" i="3"/>
  <c r="C188" i="3"/>
  <c r="F187" i="3"/>
  <c r="E187" i="3"/>
  <c r="D187" i="3"/>
  <c r="C187" i="3"/>
  <c r="F186" i="3"/>
  <c r="E186" i="3"/>
  <c r="D186" i="3"/>
  <c r="C186" i="3"/>
  <c r="F185" i="3"/>
  <c r="E185" i="3"/>
  <c r="D185" i="3"/>
  <c r="C185" i="3"/>
  <c r="F184" i="3"/>
  <c r="E184" i="3"/>
  <c r="D184" i="3"/>
  <c r="C184" i="3"/>
  <c r="F183" i="3"/>
  <c r="E183" i="3"/>
  <c r="D183" i="3"/>
  <c r="C183" i="3"/>
  <c r="F182" i="3"/>
  <c r="E182" i="3"/>
  <c r="D182" i="3"/>
  <c r="C182" i="3"/>
  <c r="F181" i="3"/>
  <c r="E181" i="3"/>
  <c r="D181" i="3"/>
  <c r="C181" i="3"/>
  <c r="F180" i="3"/>
  <c r="E180" i="3"/>
  <c r="D180" i="3"/>
  <c r="C180" i="3"/>
  <c r="F179" i="3"/>
  <c r="E179" i="3"/>
  <c r="D179" i="3"/>
  <c r="C179" i="3"/>
  <c r="F178" i="3"/>
  <c r="E178" i="3"/>
  <c r="D178" i="3"/>
  <c r="C178" i="3"/>
  <c r="F177" i="3"/>
  <c r="E177" i="3"/>
  <c r="D177" i="3"/>
  <c r="C177" i="3"/>
  <c r="F176" i="3"/>
  <c r="E176" i="3"/>
  <c r="D176" i="3"/>
  <c r="C176" i="3"/>
  <c r="F175" i="3"/>
  <c r="E175" i="3"/>
  <c r="D175" i="3"/>
  <c r="C175" i="3"/>
  <c r="F174" i="3"/>
  <c r="E174" i="3"/>
  <c r="D174" i="3"/>
  <c r="C174" i="3"/>
  <c r="F173" i="3"/>
  <c r="E173" i="3"/>
  <c r="D173" i="3"/>
  <c r="C173" i="3"/>
  <c r="F172" i="3"/>
  <c r="E172" i="3"/>
  <c r="D172" i="3"/>
  <c r="C172" i="3"/>
  <c r="F171" i="3"/>
  <c r="E171" i="3"/>
  <c r="D171" i="3"/>
  <c r="C171" i="3"/>
  <c r="F170" i="3"/>
  <c r="E170" i="3"/>
  <c r="D170" i="3"/>
  <c r="C170" i="3"/>
  <c r="F169" i="3"/>
  <c r="E169" i="3"/>
  <c r="D169" i="3"/>
  <c r="C169" i="3"/>
  <c r="F168" i="3"/>
  <c r="E168" i="3"/>
  <c r="D168" i="3"/>
  <c r="C168" i="3"/>
  <c r="F167" i="3"/>
  <c r="E167" i="3"/>
  <c r="D167" i="3"/>
  <c r="C167" i="3"/>
  <c r="F166" i="3"/>
  <c r="E166" i="3"/>
  <c r="D166" i="3"/>
  <c r="C166" i="3"/>
  <c r="F165" i="3"/>
  <c r="E165" i="3"/>
  <c r="D165" i="3"/>
  <c r="C165" i="3"/>
  <c r="F164" i="3"/>
  <c r="E164" i="3"/>
  <c r="D164" i="3"/>
  <c r="C164" i="3"/>
  <c r="F163" i="3"/>
  <c r="E163" i="3"/>
  <c r="D163" i="3"/>
  <c r="C163" i="3"/>
  <c r="F162" i="3"/>
  <c r="E162" i="3"/>
  <c r="D162" i="3"/>
  <c r="C162" i="3"/>
  <c r="F161" i="3"/>
  <c r="E161" i="3"/>
  <c r="D161" i="3"/>
  <c r="C161" i="3"/>
  <c r="F160" i="3"/>
  <c r="E160" i="3"/>
  <c r="D160" i="3"/>
  <c r="C160" i="3"/>
  <c r="F159" i="3"/>
  <c r="E159" i="3"/>
  <c r="D159" i="3"/>
  <c r="C159" i="3"/>
  <c r="F158" i="3"/>
  <c r="E158" i="3"/>
  <c r="D158" i="3"/>
  <c r="C158" i="3"/>
  <c r="F157" i="3"/>
  <c r="E157" i="3"/>
  <c r="D157" i="3"/>
  <c r="C157" i="3"/>
  <c r="F156" i="3"/>
  <c r="E156" i="3"/>
  <c r="D156" i="3"/>
  <c r="C156" i="3"/>
  <c r="F155" i="3"/>
  <c r="E155" i="3"/>
  <c r="D155" i="3"/>
  <c r="C155" i="3"/>
  <c r="F154" i="3"/>
  <c r="E154" i="3"/>
  <c r="D154" i="3"/>
  <c r="C154" i="3"/>
  <c r="F153" i="3"/>
  <c r="E153" i="3"/>
  <c r="D153" i="3"/>
  <c r="C153" i="3"/>
  <c r="F152" i="3"/>
  <c r="E152" i="3"/>
  <c r="D152" i="3"/>
  <c r="C152" i="3"/>
  <c r="F151" i="3"/>
  <c r="E151" i="3"/>
  <c r="D151" i="3"/>
  <c r="C151" i="3"/>
  <c r="F150" i="3"/>
  <c r="E150" i="3"/>
  <c r="D150" i="3"/>
  <c r="C150" i="3"/>
  <c r="F149" i="3"/>
  <c r="E149" i="3"/>
  <c r="D149" i="3"/>
  <c r="C149" i="3"/>
  <c r="F148" i="3"/>
  <c r="E148" i="3"/>
  <c r="D148" i="3"/>
  <c r="C148" i="3"/>
  <c r="F147" i="3"/>
  <c r="E147" i="3"/>
  <c r="D147" i="3"/>
  <c r="C147" i="3"/>
  <c r="F146" i="3"/>
  <c r="E146" i="3"/>
  <c r="D146" i="3"/>
  <c r="C146" i="3"/>
  <c r="F145" i="3"/>
  <c r="E145" i="3"/>
  <c r="D145" i="3"/>
  <c r="C145" i="3"/>
  <c r="F144" i="3"/>
  <c r="E144" i="3"/>
  <c r="D144" i="3"/>
  <c r="C144" i="3"/>
  <c r="F143" i="3"/>
  <c r="E143" i="3"/>
  <c r="D143" i="3"/>
  <c r="C143" i="3"/>
  <c r="F142" i="3"/>
  <c r="E142" i="3"/>
  <c r="D142" i="3"/>
  <c r="C142" i="3"/>
  <c r="F141" i="3"/>
  <c r="E141" i="3"/>
  <c r="D141" i="3"/>
  <c r="C141" i="3"/>
  <c r="F140" i="3"/>
  <c r="E140" i="3"/>
  <c r="D140" i="3"/>
  <c r="C140" i="3"/>
  <c r="F139" i="3"/>
  <c r="E139" i="3"/>
  <c r="D139" i="3"/>
  <c r="C139" i="3"/>
  <c r="F138" i="3"/>
  <c r="E138" i="3"/>
  <c r="D138" i="3"/>
  <c r="C138" i="3"/>
  <c r="F137" i="3"/>
  <c r="E137" i="3"/>
  <c r="D137" i="3"/>
  <c r="C137" i="3"/>
  <c r="F136" i="3"/>
  <c r="E136" i="3"/>
  <c r="D136" i="3"/>
  <c r="C136" i="3"/>
  <c r="F135" i="3"/>
  <c r="E135" i="3"/>
  <c r="D135" i="3"/>
  <c r="C135" i="3"/>
  <c r="F134" i="3"/>
  <c r="E134" i="3"/>
  <c r="D134" i="3"/>
  <c r="C134" i="3"/>
  <c r="F133" i="3"/>
  <c r="E133" i="3"/>
  <c r="D133" i="3"/>
  <c r="C133" i="3"/>
  <c r="F132" i="3"/>
  <c r="E132" i="3"/>
  <c r="D132" i="3"/>
  <c r="C132" i="3"/>
  <c r="F131" i="3"/>
  <c r="E131" i="3"/>
  <c r="D131" i="3"/>
  <c r="C131" i="3"/>
  <c r="F130" i="3"/>
  <c r="E130" i="3"/>
  <c r="D130" i="3"/>
  <c r="C130" i="3"/>
  <c r="F129" i="3"/>
  <c r="E129" i="3"/>
  <c r="D129" i="3"/>
  <c r="C129" i="3"/>
  <c r="F128" i="3"/>
  <c r="E128" i="3"/>
  <c r="D128" i="3"/>
  <c r="C128" i="3"/>
  <c r="F127" i="3"/>
  <c r="E127" i="3"/>
  <c r="D127" i="3"/>
  <c r="C127" i="3"/>
  <c r="F126" i="3"/>
  <c r="E126" i="3"/>
  <c r="D126" i="3"/>
  <c r="C126" i="3"/>
  <c r="F125" i="3"/>
  <c r="E125" i="3"/>
  <c r="D125" i="3"/>
  <c r="C125" i="3"/>
  <c r="F124" i="3"/>
  <c r="E124" i="3"/>
  <c r="D124" i="3"/>
  <c r="C124" i="3"/>
  <c r="F123" i="3"/>
  <c r="E123" i="3"/>
  <c r="D123" i="3"/>
  <c r="C123" i="3"/>
  <c r="F122" i="3"/>
  <c r="E122" i="3"/>
  <c r="D122" i="3"/>
  <c r="C122" i="3"/>
  <c r="F121" i="3"/>
  <c r="E121" i="3"/>
  <c r="D121" i="3"/>
  <c r="C121" i="3"/>
  <c r="F120" i="3"/>
  <c r="E120" i="3"/>
  <c r="D120" i="3"/>
  <c r="C120" i="3"/>
  <c r="F119" i="3"/>
  <c r="E119" i="3"/>
  <c r="D119" i="3"/>
  <c r="C119" i="3"/>
  <c r="F118" i="3"/>
  <c r="E118" i="3"/>
  <c r="D118" i="3"/>
  <c r="C118" i="3"/>
  <c r="F117" i="3"/>
  <c r="E117" i="3"/>
  <c r="D117" i="3"/>
  <c r="C117" i="3"/>
  <c r="F116" i="3"/>
  <c r="E116" i="3"/>
  <c r="D116" i="3"/>
  <c r="C116" i="3"/>
  <c r="F115" i="3"/>
  <c r="E115" i="3"/>
  <c r="D115" i="3"/>
  <c r="C115" i="3"/>
  <c r="F114" i="3"/>
  <c r="E114" i="3"/>
  <c r="D114" i="3"/>
  <c r="C114" i="3"/>
  <c r="F113" i="3"/>
  <c r="E113" i="3"/>
  <c r="D113" i="3"/>
  <c r="C113" i="3"/>
  <c r="F112" i="3"/>
  <c r="E112" i="3"/>
  <c r="D112" i="3"/>
  <c r="C112" i="3"/>
  <c r="F111" i="3"/>
  <c r="E111" i="3"/>
  <c r="D111" i="3"/>
  <c r="C111" i="3"/>
  <c r="F110" i="3"/>
  <c r="E110" i="3"/>
  <c r="D110" i="3"/>
  <c r="C110" i="3"/>
  <c r="F109" i="3"/>
  <c r="E109" i="3"/>
  <c r="D109" i="3"/>
  <c r="C109" i="3"/>
  <c r="F108" i="3"/>
  <c r="E108" i="3"/>
  <c r="D108" i="3"/>
  <c r="C108" i="3"/>
  <c r="F107" i="3"/>
  <c r="E107" i="3"/>
  <c r="D107" i="3"/>
  <c r="C107" i="3"/>
  <c r="F106" i="3"/>
  <c r="E106" i="3"/>
  <c r="D106" i="3"/>
  <c r="C106" i="3"/>
  <c r="F105" i="3"/>
  <c r="E105" i="3"/>
  <c r="D105" i="3"/>
  <c r="C105" i="3"/>
  <c r="F104" i="3"/>
  <c r="E104" i="3"/>
  <c r="D104" i="3"/>
  <c r="C104" i="3"/>
  <c r="F103" i="3"/>
  <c r="E103" i="3"/>
  <c r="D103" i="3"/>
  <c r="C103" i="3"/>
  <c r="F102" i="3"/>
  <c r="E102" i="3"/>
  <c r="D102" i="3"/>
  <c r="C102" i="3"/>
  <c r="F101" i="3"/>
  <c r="E101" i="3"/>
  <c r="D101" i="3"/>
  <c r="C101" i="3"/>
  <c r="F100" i="3"/>
  <c r="E100" i="3"/>
  <c r="D100" i="3"/>
  <c r="C100" i="3"/>
  <c r="F99" i="3"/>
  <c r="E99" i="3"/>
  <c r="D99" i="3"/>
  <c r="C99" i="3"/>
  <c r="F98" i="3"/>
  <c r="E98" i="3"/>
  <c r="D98" i="3"/>
  <c r="C98" i="3"/>
  <c r="F97" i="3"/>
  <c r="E97" i="3"/>
  <c r="D97" i="3"/>
  <c r="C97" i="3"/>
  <c r="F96" i="3"/>
  <c r="E96" i="3"/>
  <c r="D96" i="3"/>
  <c r="C96" i="3"/>
  <c r="F95" i="3"/>
  <c r="E95" i="3"/>
  <c r="D95" i="3"/>
  <c r="C95" i="3"/>
  <c r="F94" i="3"/>
  <c r="E94" i="3"/>
  <c r="D94" i="3"/>
  <c r="C94" i="3"/>
  <c r="F93" i="3"/>
  <c r="E93" i="3"/>
  <c r="D93" i="3"/>
  <c r="C93" i="3"/>
  <c r="F92" i="3"/>
  <c r="E92" i="3"/>
  <c r="D92" i="3"/>
  <c r="C92" i="3"/>
  <c r="F91" i="3"/>
  <c r="E91" i="3"/>
  <c r="D91" i="3"/>
  <c r="C91" i="3"/>
  <c r="F90" i="3"/>
  <c r="E90" i="3"/>
  <c r="D90" i="3"/>
  <c r="C90" i="3"/>
  <c r="F89" i="3"/>
  <c r="E89" i="3"/>
  <c r="D89" i="3"/>
  <c r="C89" i="3"/>
  <c r="F88" i="3"/>
  <c r="E88" i="3"/>
  <c r="D88" i="3"/>
  <c r="C88" i="3"/>
  <c r="F87" i="3"/>
  <c r="E87" i="3"/>
  <c r="D87" i="3"/>
  <c r="C87" i="3"/>
  <c r="F86" i="3"/>
  <c r="E86" i="3"/>
  <c r="D86" i="3"/>
  <c r="C86" i="3"/>
  <c r="F85" i="3"/>
  <c r="E85" i="3"/>
  <c r="D85" i="3"/>
  <c r="C85" i="3"/>
  <c r="F84" i="3"/>
  <c r="E84" i="3"/>
  <c r="D84" i="3"/>
  <c r="C84" i="3"/>
  <c r="F83" i="3"/>
  <c r="E83" i="3"/>
  <c r="D83" i="3"/>
  <c r="C83" i="3"/>
  <c r="F82" i="3"/>
  <c r="E82" i="3"/>
  <c r="D82" i="3"/>
  <c r="C82" i="3"/>
  <c r="F81" i="3"/>
  <c r="E81" i="3"/>
  <c r="D81" i="3"/>
  <c r="C81" i="3"/>
  <c r="F80" i="3"/>
  <c r="E80" i="3"/>
  <c r="D80" i="3"/>
  <c r="C80" i="3"/>
  <c r="F79" i="3"/>
  <c r="E79" i="3"/>
  <c r="D79" i="3"/>
  <c r="C79" i="3"/>
  <c r="F78" i="3"/>
  <c r="E78" i="3"/>
  <c r="D78" i="3"/>
  <c r="C78" i="3"/>
  <c r="F77" i="3"/>
  <c r="E77" i="3"/>
  <c r="D77" i="3"/>
  <c r="C77" i="3"/>
  <c r="F76" i="3"/>
  <c r="E76" i="3"/>
  <c r="D76" i="3"/>
  <c r="C76" i="3"/>
  <c r="F75" i="3"/>
  <c r="E75" i="3"/>
  <c r="D75" i="3"/>
  <c r="C75" i="3"/>
  <c r="F74" i="3"/>
  <c r="E74" i="3"/>
  <c r="D74" i="3"/>
  <c r="C74" i="3"/>
  <c r="F73" i="3"/>
  <c r="E73" i="3"/>
  <c r="D73" i="3"/>
  <c r="C73" i="3"/>
  <c r="F72" i="3"/>
  <c r="E72" i="3"/>
  <c r="D72" i="3"/>
  <c r="C72" i="3"/>
  <c r="F71" i="3"/>
  <c r="E71" i="3"/>
  <c r="D71" i="3"/>
  <c r="C71" i="3"/>
  <c r="F70" i="3"/>
  <c r="E70" i="3"/>
  <c r="D70" i="3"/>
  <c r="C70" i="3"/>
  <c r="F69" i="3"/>
  <c r="E69" i="3"/>
  <c r="D69" i="3"/>
  <c r="C69" i="3"/>
  <c r="F68" i="3"/>
  <c r="E68" i="3"/>
  <c r="D68" i="3"/>
  <c r="C68" i="3"/>
  <c r="F67" i="3"/>
  <c r="E67" i="3"/>
  <c r="D67" i="3"/>
  <c r="C67" i="3"/>
  <c r="F66" i="3"/>
  <c r="E66" i="3"/>
  <c r="D66" i="3"/>
  <c r="C66" i="3"/>
  <c r="F65" i="3"/>
  <c r="E65" i="3"/>
  <c r="D65" i="3"/>
  <c r="C65" i="3"/>
  <c r="F64" i="3"/>
  <c r="E64" i="3"/>
  <c r="D64" i="3"/>
  <c r="C64" i="3"/>
  <c r="F63" i="3"/>
  <c r="E63" i="3"/>
  <c r="D63" i="3"/>
  <c r="C63" i="3"/>
  <c r="F62" i="3"/>
  <c r="E62" i="3"/>
  <c r="D62" i="3"/>
  <c r="C62" i="3"/>
  <c r="F61" i="3"/>
  <c r="E61" i="3"/>
  <c r="D61" i="3"/>
  <c r="C61" i="3"/>
  <c r="F60" i="3"/>
  <c r="E60" i="3"/>
  <c r="D60" i="3"/>
  <c r="C60" i="3"/>
  <c r="F59" i="3"/>
  <c r="E59" i="3"/>
  <c r="D59" i="3"/>
  <c r="C59" i="3"/>
  <c r="F58" i="3"/>
  <c r="E58" i="3"/>
  <c r="D58" i="3"/>
  <c r="C58" i="3"/>
  <c r="F57" i="3"/>
  <c r="E57" i="3"/>
  <c r="D57" i="3"/>
  <c r="C57" i="3"/>
  <c r="F56" i="3"/>
  <c r="E56" i="3"/>
  <c r="D56" i="3"/>
  <c r="C56" i="3"/>
  <c r="F55" i="3"/>
  <c r="E55" i="3"/>
  <c r="D55" i="3"/>
  <c r="C55" i="3"/>
  <c r="F54" i="3"/>
  <c r="E54" i="3"/>
  <c r="D54" i="3"/>
  <c r="C54" i="3"/>
  <c r="F53" i="3"/>
  <c r="E53" i="3"/>
  <c r="D53" i="3"/>
  <c r="C53" i="3"/>
  <c r="F52" i="3"/>
  <c r="E52" i="3"/>
  <c r="D52" i="3"/>
  <c r="C52" i="3"/>
  <c r="F51" i="3"/>
  <c r="E51" i="3"/>
  <c r="D51" i="3"/>
  <c r="C51" i="3"/>
  <c r="F50" i="3"/>
  <c r="E50" i="3"/>
  <c r="D50" i="3"/>
  <c r="C50" i="3"/>
  <c r="F49" i="3"/>
  <c r="E49" i="3"/>
  <c r="D49" i="3"/>
  <c r="C49" i="3"/>
  <c r="F48" i="3"/>
  <c r="E48" i="3"/>
  <c r="D48" i="3"/>
  <c r="C48" i="3"/>
  <c r="F47" i="3"/>
  <c r="E47" i="3"/>
  <c r="D47" i="3"/>
  <c r="C47" i="3"/>
  <c r="F46" i="3"/>
  <c r="E46" i="3"/>
  <c r="D46" i="3"/>
  <c r="C46" i="3"/>
  <c r="F45" i="3"/>
  <c r="E45" i="3"/>
  <c r="D45" i="3"/>
  <c r="C45" i="3"/>
  <c r="F44" i="3"/>
  <c r="E44" i="3"/>
  <c r="D44" i="3"/>
  <c r="C44" i="3"/>
  <c r="F43" i="3"/>
  <c r="E43" i="3"/>
  <c r="D43" i="3"/>
  <c r="C43" i="3"/>
  <c r="F42" i="3"/>
  <c r="E42" i="3"/>
  <c r="D42" i="3"/>
  <c r="C42" i="3"/>
  <c r="F41" i="3"/>
  <c r="E41" i="3"/>
  <c r="D41" i="3"/>
  <c r="C41" i="3"/>
  <c r="F40" i="3"/>
  <c r="E40" i="3"/>
  <c r="D40" i="3"/>
  <c r="C40" i="3"/>
  <c r="F39" i="3"/>
  <c r="E39" i="3"/>
  <c r="D39" i="3"/>
  <c r="C39" i="3"/>
  <c r="F38" i="3"/>
  <c r="E38" i="3"/>
  <c r="D38" i="3"/>
  <c r="C38" i="3"/>
  <c r="F37" i="3"/>
  <c r="E37" i="3"/>
  <c r="D37" i="3"/>
  <c r="C37" i="3"/>
  <c r="F36" i="3"/>
  <c r="E36" i="3"/>
  <c r="D36" i="3"/>
  <c r="C36" i="3"/>
  <c r="F35" i="3"/>
  <c r="E35" i="3"/>
  <c r="D35" i="3"/>
  <c r="C35" i="3"/>
  <c r="F34" i="3"/>
  <c r="E34" i="3"/>
  <c r="D34" i="3"/>
  <c r="C34" i="3"/>
  <c r="F33" i="3"/>
  <c r="E33" i="3"/>
  <c r="D33" i="3"/>
  <c r="C33" i="3"/>
  <c r="F32" i="3"/>
  <c r="E32" i="3"/>
  <c r="D32" i="3"/>
  <c r="C32" i="3"/>
  <c r="F31" i="3"/>
  <c r="E31" i="3"/>
  <c r="D31" i="3"/>
  <c r="C31" i="3"/>
  <c r="F30" i="3"/>
  <c r="E30" i="3"/>
  <c r="D30" i="3"/>
  <c r="C30" i="3"/>
  <c r="F29" i="3"/>
  <c r="E29" i="3"/>
  <c r="D29" i="3"/>
  <c r="C29" i="3"/>
  <c r="F28" i="3"/>
  <c r="E28" i="3"/>
  <c r="D28" i="3"/>
  <c r="C28" i="3"/>
  <c r="F27" i="3"/>
  <c r="E27" i="3"/>
  <c r="D27" i="3"/>
  <c r="C27" i="3"/>
  <c r="F26" i="3"/>
  <c r="E26" i="3"/>
  <c r="D26" i="3"/>
  <c r="C26" i="3"/>
  <c r="F25" i="3"/>
  <c r="E25" i="3"/>
  <c r="D25" i="3"/>
  <c r="C25" i="3"/>
  <c r="F24" i="3"/>
  <c r="E24" i="3"/>
  <c r="D24" i="3"/>
  <c r="C24" i="3"/>
  <c r="F23" i="3"/>
  <c r="E23" i="3"/>
  <c r="D23" i="3"/>
  <c r="C23" i="3"/>
  <c r="F22" i="3"/>
  <c r="E22" i="3"/>
  <c r="D22" i="3"/>
  <c r="C22" i="3"/>
  <c r="F21" i="3"/>
  <c r="E21" i="3"/>
  <c r="D21" i="3"/>
  <c r="C21" i="3"/>
  <c r="F20" i="3"/>
  <c r="E20" i="3"/>
  <c r="D20" i="3"/>
  <c r="C20" i="3"/>
  <c r="F19" i="3"/>
  <c r="E19" i="3"/>
  <c r="D19" i="3"/>
  <c r="C19" i="3"/>
  <c r="F18" i="3"/>
  <c r="E18" i="3"/>
  <c r="D18" i="3"/>
  <c r="C18" i="3"/>
  <c r="F17" i="3"/>
  <c r="E17" i="3"/>
  <c r="D17" i="3"/>
  <c r="C17" i="3"/>
  <c r="F16" i="3"/>
  <c r="E16" i="3"/>
  <c r="D16" i="3"/>
  <c r="C16" i="3"/>
  <c r="F15" i="3"/>
  <c r="E15" i="3"/>
  <c r="D15" i="3"/>
  <c r="C15" i="3"/>
  <c r="F14" i="3"/>
  <c r="E14" i="3"/>
  <c r="D14" i="3"/>
  <c r="C14" i="3"/>
  <c r="F13" i="3"/>
  <c r="E13" i="3"/>
  <c r="D13" i="3"/>
  <c r="C13" i="3"/>
  <c r="F12" i="3"/>
  <c r="E12" i="3"/>
  <c r="D12" i="3"/>
  <c r="C12" i="3"/>
  <c r="F11" i="3"/>
  <c r="E11" i="3"/>
  <c r="D11" i="3"/>
  <c r="C11" i="3"/>
  <c r="F10" i="3"/>
  <c r="E10" i="3"/>
  <c r="D10" i="3"/>
  <c r="C10" i="3"/>
  <c r="F9" i="3"/>
  <c r="E9" i="3"/>
  <c r="D9" i="3"/>
  <c r="C9" i="3"/>
  <c r="F8" i="3"/>
  <c r="E8" i="3"/>
  <c r="D8" i="3"/>
  <c r="C8" i="3"/>
  <c r="F7" i="3"/>
  <c r="E7" i="3"/>
  <c r="D7" i="3"/>
  <c r="C7" i="3"/>
  <c r="F6" i="3"/>
  <c r="E6" i="3"/>
  <c r="D6" i="3"/>
  <c r="C6" i="3"/>
  <c r="H5" i="3"/>
  <c r="F5" i="3"/>
  <c r="E5" i="3"/>
  <c r="D5" i="3"/>
  <c r="C5" i="3"/>
  <c r="P26" i="2"/>
  <c r="N26" i="2"/>
  <c r="L26" i="2"/>
  <c r="P25" i="2"/>
  <c r="N25" i="2"/>
  <c r="L25" i="2"/>
  <c r="P24" i="2"/>
  <c r="N24" i="2"/>
  <c r="L24" i="2"/>
  <c r="P23" i="2"/>
  <c r="N23" i="2"/>
  <c r="L23" i="2"/>
  <c r="X22" i="2"/>
  <c r="V22" i="2"/>
  <c r="T22" i="2"/>
  <c r="P22" i="2"/>
  <c r="N22" i="2"/>
  <c r="L22" i="2"/>
  <c r="X21" i="2"/>
  <c r="V21" i="2"/>
  <c r="T21" i="2"/>
  <c r="P21" i="2"/>
  <c r="N21" i="2"/>
  <c r="L21" i="2"/>
  <c r="X20" i="2"/>
  <c r="V20" i="2"/>
  <c r="T20" i="2"/>
  <c r="P20" i="2"/>
  <c r="N20" i="2"/>
  <c r="L20" i="2"/>
  <c r="X19" i="2"/>
  <c r="V19" i="2"/>
  <c r="T19" i="2"/>
  <c r="P19" i="2"/>
  <c r="N19" i="2"/>
  <c r="L19" i="2"/>
  <c r="E19" i="2"/>
  <c r="D19" i="2"/>
  <c r="X18" i="2"/>
  <c r="V18" i="2"/>
  <c r="T18" i="2"/>
  <c r="P18" i="2"/>
  <c r="N18" i="2"/>
  <c r="L18" i="2"/>
  <c r="E18" i="2"/>
  <c r="D18" i="2"/>
  <c r="E17" i="2"/>
  <c r="D17" i="2"/>
  <c r="K13" i="2"/>
  <c r="S12" i="2"/>
  <c r="K12" i="2"/>
  <c r="C11" i="2"/>
  <c r="S10" i="2"/>
  <c r="C10" i="2"/>
  <c r="S9" i="2"/>
  <c r="K9" i="2"/>
  <c r="C9" i="2"/>
  <c r="S8" i="2"/>
  <c r="K8" i="2"/>
  <c r="K7" i="2"/>
  <c r="S6" i="2"/>
  <c r="K6" i="2"/>
  <c r="S5" i="2"/>
  <c r="K5" i="2"/>
  <c r="C5" i="2"/>
  <c r="N202" i="1"/>
  <c r="O202" i="1" s="1"/>
  <c r="U201" i="1"/>
  <c r="O201" i="1"/>
  <c r="L201" i="1"/>
  <c r="K201" i="1"/>
  <c r="A201" i="1"/>
  <c r="U200" i="1"/>
  <c r="O200" i="1"/>
  <c r="L200" i="1"/>
  <c r="K200" i="1"/>
  <c r="A200" i="1"/>
  <c r="U199" i="1"/>
  <c r="O199" i="1"/>
  <c r="L199" i="1"/>
  <c r="K199" i="1"/>
  <c r="A199" i="1"/>
  <c r="U198" i="1"/>
  <c r="O198" i="1"/>
  <c r="L198" i="1"/>
  <c r="K198" i="1"/>
  <c r="A198" i="1"/>
  <c r="U197" i="1"/>
  <c r="O197" i="1"/>
  <c r="L197" i="1"/>
  <c r="K197" i="1"/>
  <c r="A197" i="1"/>
  <c r="U196" i="1"/>
  <c r="O196" i="1"/>
  <c r="L196" i="1"/>
  <c r="K196" i="1"/>
  <c r="A196" i="1"/>
  <c r="U195" i="1"/>
  <c r="O195" i="1"/>
  <c r="L195" i="1"/>
  <c r="K195" i="1"/>
  <c r="A195" i="1"/>
  <c r="U194" i="1"/>
  <c r="O194" i="1"/>
  <c r="L194" i="1"/>
  <c r="K194" i="1"/>
  <c r="A194" i="1"/>
  <c r="U193" i="1"/>
  <c r="O193" i="1"/>
  <c r="L193" i="1"/>
  <c r="K193" i="1"/>
  <c r="A193" i="1"/>
  <c r="U192" i="1"/>
  <c r="O192" i="1"/>
  <c r="L192" i="1"/>
  <c r="K192" i="1"/>
  <c r="A192" i="1"/>
  <c r="U191" i="1"/>
  <c r="O191" i="1"/>
  <c r="L191" i="1"/>
  <c r="K191" i="1"/>
  <c r="A191" i="1"/>
  <c r="U190" i="1"/>
  <c r="O190" i="1"/>
  <c r="L190" i="1"/>
  <c r="K190" i="1"/>
  <c r="A190" i="1"/>
  <c r="U189" i="1"/>
  <c r="O189" i="1"/>
  <c r="L189" i="1"/>
  <c r="K189" i="1"/>
  <c r="A189" i="1"/>
  <c r="U188" i="1"/>
  <c r="O188" i="1"/>
  <c r="L188" i="1"/>
  <c r="K188" i="1"/>
  <c r="A188" i="1"/>
  <c r="U187" i="1"/>
  <c r="O187" i="1"/>
  <c r="L187" i="1"/>
  <c r="K187" i="1"/>
  <c r="A187" i="1"/>
  <c r="U186" i="1"/>
  <c r="O186" i="1"/>
  <c r="L186" i="1"/>
  <c r="K186" i="1"/>
  <c r="A186" i="1"/>
  <c r="U185" i="1"/>
  <c r="O185" i="1"/>
  <c r="L185" i="1"/>
  <c r="K185" i="1"/>
  <c r="A185" i="1"/>
  <c r="U184" i="1"/>
  <c r="O184" i="1"/>
  <c r="L184" i="1"/>
  <c r="K184" i="1"/>
  <c r="A184" i="1"/>
  <c r="U183" i="1"/>
  <c r="O183" i="1"/>
  <c r="L183" i="1"/>
  <c r="K183" i="1"/>
  <c r="A183" i="1"/>
  <c r="U182" i="1"/>
  <c r="O182" i="1"/>
  <c r="L182" i="1"/>
  <c r="K182" i="1"/>
  <c r="A182" i="1"/>
  <c r="U181" i="1"/>
  <c r="O181" i="1"/>
  <c r="L181" i="1"/>
  <c r="K181" i="1"/>
  <c r="A181" i="1"/>
  <c r="U180" i="1"/>
  <c r="O180" i="1"/>
  <c r="L180" i="1"/>
  <c r="K180" i="1"/>
  <c r="A180" i="1"/>
  <c r="U179" i="1"/>
  <c r="O179" i="1"/>
  <c r="L179" i="1"/>
  <c r="K179" i="1"/>
  <c r="A179" i="1"/>
  <c r="U178" i="1"/>
  <c r="O178" i="1"/>
  <c r="L178" i="1"/>
  <c r="K178" i="1"/>
  <c r="A178" i="1"/>
  <c r="U177" i="1"/>
  <c r="O177" i="1"/>
  <c r="L177" i="1"/>
  <c r="K177" i="1"/>
  <c r="A177" i="1"/>
  <c r="U176" i="1"/>
  <c r="O176" i="1"/>
  <c r="L176" i="1"/>
  <c r="K176" i="1"/>
  <c r="A176" i="1"/>
  <c r="U175" i="1"/>
  <c r="O175" i="1"/>
  <c r="L175" i="1"/>
  <c r="K175" i="1"/>
  <c r="A175" i="1"/>
  <c r="U174" i="1"/>
  <c r="O174" i="1"/>
  <c r="L174" i="1"/>
  <c r="K174" i="1"/>
  <c r="A174" i="1"/>
  <c r="U173" i="1"/>
  <c r="O173" i="1"/>
  <c r="L173" i="1"/>
  <c r="K173" i="1"/>
  <c r="A173" i="1"/>
  <c r="U172" i="1"/>
  <c r="O172" i="1"/>
  <c r="L172" i="1"/>
  <c r="K172" i="1"/>
  <c r="A172" i="1"/>
  <c r="U171" i="1"/>
  <c r="O171" i="1"/>
  <c r="L171" i="1"/>
  <c r="K171" i="1"/>
  <c r="A171" i="1"/>
  <c r="U170" i="1"/>
  <c r="O170" i="1"/>
  <c r="L170" i="1"/>
  <c r="K170" i="1"/>
  <c r="A170" i="1"/>
  <c r="U169" i="1"/>
  <c r="O169" i="1"/>
  <c r="L169" i="1"/>
  <c r="K169" i="1"/>
  <c r="A169" i="1"/>
  <c r="U168" i="1"/>
  <c r="O168" i="1"/>
  <c r="L168" i="1"/>
  <c r="K168" i="1"/>
  <c r="A168" i="1"/>
  <c r="U167" i="1"/>
  <c r="O167" i="1"/>
  <c r="L167" i="1"/>
  <c r="K167" i="1"/>
  <c r="A167" i="1"/>
  <c r="U166" i="1"/>
  <c r="O166" i="1"/>
  <c r="L166" i="1"/>
  <c r="K166" i="1"/>
  <c r="A166" i="1"/>
  <c r="U165" i="1"/>
  <c r="O165" i="1"/>
  <c r="L165" i="1"/>
  <c r="K165" i="1"/>
  <c r="A165" i="1"/>
  <c r="U164" i="1"/>
  <c r="O164" i="1"/>
  <c r="L164" i="1"/>
  <c r="K164" i="1"/>
  <c r="A164" i="1"/>
  <c r="U163" i="1"/>
  <c r="O163" i="1"/>
  <c r="L163" i="1"/>
  <c r="K163" i="1"/>
  <c r="A163" i="1"/>
  <c r="U162" i="1"/>
  <c r="O162" i="1"/>
  <c r="L162" i="1"/>
  <c r="K162" i="1"/>
  <c r="A162" i="1"/>
  <c r="U161" i="1"/>
  <c r="O161" i="1"/>
  <c r="L161" i="1"/>
  <c r="K161" i="1"/>
  <c r="A161" i="1"/>
  <c r="U160" i="1"/>
  <c r="O160" i="1"/>
  <c r="L160" i="1"/>
  <c r="K160" i="1"/>
  <c r="A160" i="1"/>
  <c r="U159" i="1"/>
  <c r="O159" i="1"/>
  <c r="L159" i="1"/>
  <c r="K159" i="1"/>
  <c r="A159" i="1"/>
  <c r="U158" i="1"/>
  <c r="O158" i="1"/>
  <c r="L158" i="1"/>
  <c r="K158" i="1"/>
  <c r="A158" i="1"/>
  <c r="U157" i="1"/>
  <c r="O157" i="1"/>
  <c r="L157" i="1"/>
  <c r="K157" i="1"/>
  <c r="A157" i="1"/>
  <c r="U156" i="1"/>
  <c r="O156" i="1"/>
  <c r="L156" i="1"/>
  <c r="K156" i="1"/>
  <c r="A156" i="1"/>
  <c r="U155" i="1"/>
  <c r="O155" i="1"/>
  <c r="L155" i="1"/>
  <c r="K155" i="1"/>
  <c r="A155" i="1"/>
  <c r="U154" i="1"/>
  <c r="O154" i="1"/>
  <c r="L154" i="1"/>
  <c r="K154" i="1"/>
  <c r="A154" i="1"/>
  <c r="U153" i="1"/>
  <c r="O153" i="1"/>
  <c r="L153" i="1"/>
  <c r="K153" i="1"/>
  <c r="A153" i="1"/>
  <c r="U152" i="1"/>
  <c r="O152" i="1"/>
  <c r="L152" i="1"/>
  <c r="K152" i="1"/>
  <c r="A152" i="1"/>
  <c r="U151" i="1"/>
  <c r="O151" i="1"/>
  <c r="L151" i="1"/>
  <c r="K151" i="1"/>
  <c r="A151" i="1"/>
  <c r="U150" i="1"/>
  <c r="O150" i="1"/>
  <c r="L150" i="1"/>
  <c r="K150" i="1"/>
  <c r="A150" i="1"/>
  <c r="U149" i="1"/>
  <c r="O149" i="1"/>
  <c r="L149" i="1"/>
  <c r="K149" i="1"/>
  <c r="A149" i="1"/>
  <c r="U148" i="1"/>
  <c r="O148" i="1"/>
  <c r="L148" i="1"/>
  <c r="K148" i="1"/>
  <c r="A148" i="1"/>
  <c r="U147" i="1"/>
  <c r="O147" i="1"/>
  <c r="L147" i="1"/>
  <c r="K147" i="1"/>
  <c r="A147" i="1"/>
  <c r="U146" i="1"/>
  <c r="O146" i="1"/>
  <c r="L146" i="1"/>
  <c r="K146" i="1"/>
  <c r="A146" i="1"/>
  <c r="U145" i="1"/>
  <c r="O145" i="1"/>
  <c r="L145" i="1"/>
  <c r="K145" i="1"/>
  <c r="A145" i="1"/>
  <c r="U144" i="1"/>
  <c r="O144" i="1"/>
  <c r="L144" i="1"/>
  <c r="K144" i="1"/>
  <c r="A144" i="1"/>
  <c r="U143" i="1"/>
  <c r="O143" i="1"/>
  <c r="L143" i="1"/>
  <c r="K143" i="1"/>
  <c r="A143" i="1"/>
  <c r="U142" i="1"/>
  <c r="O142" i="1"/>
  <c r="L142" i="1"/>
  <c r="K142" i="1"/>
  <c r="A142" i="1"/>
  <c r="U141" i="1"/>
  <c r="O141" i="1"/>
  <c r="L141" i="1"/>
  <c r="K141" i="1"/>
  <c r="A141" i="1"/>
  <c r="U140" i="1"/>
  <c r="O140" i="1"/>
  <c r="L140" i="1"/>
  <c r="K140" i="1"/>
  <c r="A140" i="1"/>
  <c r="U139" i="1"/>
  <c r="O139" i="1"/>
  <c r="L139" i="1"/>
  <c r="K139" i="1"/>
  <c r="A139" i="1"/>
  <c r="U138" i="1"/>
  <c r="O138" i="1"/>
  <c r="L138" i="1"/>
  <c r="K138" i="1"/>
  <c r="A138" i="1"/>
  <c r="U137" i="1"/>
  <c r="O137" i="1"/>
  <c r="L137" i="1"/>
  <c r="K137" i="1"/>
  <c r="A137" i="1"/>
  <c r="U136" i="1"/>
  <c r="O136" i="1"/>
  <c r="L136" i="1"/>
  <c r="K136" i="1"/>
  <c r="A136" i="1"/>
  <c r="U135" i="1"/>
  <c r="O135" i="1"/>
  <c r="L135" i="1"/>
  <c r="K135" i="1"/>
  <c r="A135" i="1"/>
  <c r="U134" i="1"/>
  <c r="O134" i="1"/>
  <c r="L134" i="1"/>
  <c r="K134" i="1"/>
  <c r="A134" i="1"/>
  <c r="U133" i="1"/>
  <c r="O133" i="1"/>
  <c r="L133" i="1"/>
  <c r="K133" i="1"/>
  <c r="A133" i="1"/>
  <c r="U132" i="1"/>
  <c r="O132" i="1"/>
  <c r="L132" i="1"/>
  <c r="K132" i="1"/>
  <c r="A132" i="1"/>
  <c r="U131" i="1"/>
  <c r="O131" i="1"/>
  <c r="L131" i="1"/>
  <c r="K131" i="1"/>
  <c r="A131" i="1"/>
  <c r="U130" i="1"/>
  <c r="O130" i="1"/>
  <c r="L130" i="1"/>
  <c r="K130" i="1"/>
  <c r="A130" i="1"/>
  <c r="U129" i="1"/>
  <c r="O129" i="1"/>
  <c r="L129" i="1"/>
  <c r="K129" i="1"/>
  <c r="A129" i="1"/>
  <c r="U128" i="1"/>
  <c r="O128" i="1"/>
  <c r="L128" i="1"/>
  <c r="K128" i="1"/>
  <c r="A128" i="1"/>
  <c r="U127" i="1"/>
  <c r="O127" i="1"/>
  <c r="L127" i="1"/>
  <c r="K127" i="1"/>
  <c r="A127" i="1"/>
  <c r="U126" i="1"/>
  <c r="O126" i="1"/>
  <c r="L126" i="1"/>
  <c r="K126" i="1"/>
  <c r="A126" i="1"/>
  <c r="U125" i="1"/>
  <c r="O125" i="1"/>
  <c r="L125" i="1"/>
  <c r="K125" i="1"/>
  <c r="A125" i="1"/>
  <c r="U124" i="1"/>
  <c r="O124" i="1"/>
  <c r="L124" i="1"/>
  <c r="K124" i="1"/>
  <c r="A124" i="1"/>
  <c r="U123" i="1"/>
  <c r="O123" i="1"/>
  <c r="L123" i="1"/>
  <c r="K123" i="1"/>
  <c r="A123" i="1"/>
  <c r="U122" i="1"/>
  <c r="O122" i="1"/>
  <c r="L122" i="1"/>
  <c r="K122" i="1"/>
  <c r="A122" i="1"/>
  <c r="U121" i="1"/>
  <c r="O121" i="1"/>
  <c r="L121" i="1"/>
  <c r="K121" i="1"/>
  <c r="A121" i="1"/>
  <c r="U120" i="1"/>
  <c r="O120" i="1"/>
  <c r="L120" i="1"/>
  <c r="K120" i="1"/>
  <c r="A120" i="1"/>
  <c r="U119" i="1"/>
  <c r="O119" i="1"/>
  <c r="L119" i="1"/>
  <c r="K119" i="1"/>
  <c r="A119" i="1"/>
  <c r="U118" i="1"/>
  <c r="O118" i="1"/>
  <c r="L118" i="1"/>
  <c r="K118" i="1"/>
  <c r="A118" i="1"/>
  <c r="U117" i="1"/>
  <c r="O117" i="1"/>
  <c r="L117" i="1"/>
  <c r="K117" i="1"/>
  <c r="A117" i="1"/>
  <c r="U116" i="1"/>
  <c r="O116" i="1"/>
  <c r="L116" i="1"/>
  <c r="K116" i="1"/>
  <c r="A116" i="1"/>
  <c r="U115" i="1"/>
  <c r="O115" i="1"/>
  <c r="L115" i="1"/>
  <c r="K115" i="1"/>
  <c r="A115" i="1"/>
  <c r="U114" i="1"/>
  <c r="O114" i="1"/>
  <c r="L114" i="1"/>
  <c r="K114" i="1"/>
  <c r="A114" i="1"/>
  <c r="U113" i="1"/>
  <c r="O113" i="1"/>
  <c r="L113" i="1"/>
  <c r="K113" i="1"/>
  <c r="A113" i="1"/>
  <c r="U112" i="1"/>
  <c r="O112" i="1"/>
  <c r="L112" i="1"/>
  <c r="K112" i="1"/>
  <c r="A112" i="1"/>
  <c r="U111" i="1"/>
  <c r="O111" i="1"/>
  <c r="L111" i="1"/>
  <c r="K111" i="1"/>
  <c r="A111" i="1"/>
  <c r="U110" i="1"/>
  <c r="O110" i="1"/>
  <c r="L110" i="1"/>
  <c r="K110" i="1"/>
  <c r="A110" i="1"/>
  <c r="U109" i="1"/>
  <c r="O109" i="1"/>
  <c r="L109" i="1"/>
  <c r="K109" i="1"/>
  <c r="A109" i="1"/>
  <c r="U108" i="1"/>
  <c r="O108" i="1"/>
  <c r="L108" i="1"/>
  <c r="K108" i="1"/>
  <c r="A108" i="1"/>
  <c r="U107" i="1"/>
  <c r="O107" i="1"/>
  <c r="L107" i="1"/>
  <c r="K107" i="1"/>
  <c r="A107" i="1"/>
  <c r="U106" i="1"/>
  <c r="O106" i="1"/>
  <c r="L106" i="1"/>
  <c r="K106" i="1"/>
  <c r="A106" i="1"/>
  <c r="U105" i="1"/>
  <c r="O105" i="1"/>
  <c r="L105" i="1"/>
  <c r="K105" i="1"/>
  <c r="A105" i="1"/>
  <c r="U104" i="1"/>
  <c r="O104" i="1"/>
  <c r="L104" i="1"/>
  <c r="K104" i="1"/>
  <c r="A104" i="1"/>
  <c r="U103" i="1"/>
  <c r="O103" i="1"/>
  <c r="L103" i="1"/>
  <c r="K103" i="1"/>
  <c r="A103" i="1"/>
  <c r="U102" i="1"/>
  <c r="O102" i="1"/>
  <c r="L102" i="1"/>
  <c r="K102" i="1"/>
  <c r="A102" i="1"/>
  <c r="U101" i="1"/>
  <c r="O101" i="1"/>
  <c r="L101" i="1"/>
  <c r="K101" i="1"/>
  <c r="A101" i="1"/>
  <c r="U100" i="1"/>
  <c r="O100" i="1"/>
  <c r="L100" i="1"/>
  <c r="K100" i="1"/>
  <c r="A100" i="1"/>
  <c r="U99" i="1"/>
  <c r="O99" i="1"/>
  <c r="L99" i="1"/>
  <c r="K99" i="1"/>
  <c r="A99" i="1"/>
  <c r="U98" i="1"/>
  <c r="O98" i="1"/>
  <c r="L98" i="1"/>
  <c r="K98" i="1"/>
  <c r="A98" i="1"/>
  <c r="U97" i="1"/>
  <c r="O97" i="1"/>
  <c r="L97" i="1"/>
  <c r="K97" i="1"/>
  <c r="A97" i="1"/>
  <c r="U96" i="1"/>
  <c r="O96" i="1"/>
  <c r="L96" i="1"/>
  <c r="K96" i="1"/>
  <c r="A96" i="1"/>
  <c r="U95" i="1"/>
  <c r="O95" i="1"/>
  <c r="L95" i="1"/>
  <c r="K95" i="1"/>
  <c r="A95" i="1"/>
  <c r="U94" i="1"/>
  <c r="O94" i="1"/>
  <c r="L94" i="1"/>
  <c r="K94" i="1"/>
  <c r="A94" i="1"/>
  <c r="U93" i="1"/>
  <c r="O93" i="1"/>
  <c r="L93" i="1"/>
  <c r="K93" i="1"/>
  <c r="A93" i="1"/>
  <c r="U92" i="1"/>
  <c r="O92" i="1"/>
  <c r="L92" i="1"/>
  <c r="K92" i="1"/>
  <c r="A92" i="1"/>
  <c r="U91" i="1"/>
  <c r="O91" i="1"/>
  <c r="L91" i="1"/>
  <c r="K91" i="1"/>
  <c r="A91" i="1"/>
  <c r="U90" i="1"/>
  <c r="O90" i="1"/>
  <c r="L90" i="1"/>
  <c r="K90" i="1"/>
  <c r="A90" i="1"/>
  <c r="U89" i="1"/>
  <c r="O89" i="1"/>
  <c r="L89" i="1"/>
  <c r="K89" i="1"/>
  <c r="A89" i="1"/>
  <c r="U88" i="1"/>
  <c r="O88" i="1"/>
  <c r="L88" i="1"/>
  <c r="K88" i="1"/>
  <c r="A88" i="1"/>
  <c r="U87" i="1"/>
  <c r="O87" i="1"/>
  <c r="L87" i="1"/>
  <c r="K87" i="1"/>
  <c r="A87" i="1"/>
  <c r="U86" i="1"/>
  <c r="O86" i="1"/>
  <c r="L86" i="1"/>
  <c r="K86" i="1"/>
  <c r="A86" i="1"/>
  <c r="U85" i="1"/>
  <c r="O85" i="1"/>
  <c r="L85" i="1"/>
  <c r="K85" i="1"/>
  <c r="A85" i="1"/>
  <c r="U84" i="1"/>
  <c r="O84" i="1"/>
  <c r="L84" i="1"/>
  <c r="K84" i="1"/>
  <c r="A84" i="1"/>
  <c r="U83" i="1"/>
  <c r="O83" i="1"/>
  <c r="L83" i="1"/>
  <c r="K83" i="1"/>
  <c r="A83" i="1"/>
  <c r="U82" i="1"/>
  <c r="O82" i="1"/>
  <c r="L82" i="1"/>
  <c r="K82" i="1"/>
  <c r="A82" i="1"/>
  <c r="U81" i="1"/>
  <c r="O81" i="1"/>
  <c r="L81" i="1"/>
  <c r="K81" i="1"/>
  <c r="A81" i="1"/>
  <c r="U80" i="1"/>
  <c r="O80" i="1"/>
  <c r="L80" i="1"/>
  <c r="K80" i="1"/>
  <c r="A80" i="1"/>
  <c r="U79" i="1"/>
  <c r="O79" i="1"/>
  <c r="L79" i="1"/>
  <c r="K79" i="1"/>
  <c r="A79" i="1"/>
  <c r="U78" i="1"/>
  <c r="O78" i="1"/>
  <c r="L78" i="1"/>
  <c r="K78" i="1"/>
  <c r="A78" i="1"/>
  <c r="U77" i="1"/>
  <c r="O77" i="1"/>
  <c r="L77" i="1"/>
  <c r="K77" i="1"/>
  <c r="A77" i="1"/>
  <c r="U76" i="1"/>
  <c r="O76" i="1"/>
  <c r="L76" i="1"/>
  <c r="K76" i="1"/>
  <c r="A76" i="1"/>
  <c r="U75" i="1"/>
  <c r="O75" i="1"/>
  <c r="L75" i="1"/>
  <c r="K75" i="1"/>
  <c r="A75" i="1"/>
  <c r="U74" i="1"/>
  <c r="O74" i="1"/>
  <c r="L74" i="1"/>
  <c r="K74" i="1"/>
  <c r="A74" i="1"/>
  <c r="U73" i="1"/>
  <c r="O73" i="1"/>
  <c r="L73" i="1"/>
  <c r="K73" i="1"/>
  <c r="A73" i="1"/>
  <c r="U72" i="1"/>
  <c r="O72" i="1"/>
  <c r="L72" i="1"/>
  <c r="K72" i="1"/>
  <c r="A72" i="1"/>
  <c r="U71" i="1"/>
  <c r="O71" i="1"/>
  <c r="L71" i="1"/>
  <c r="K71" i="1"/>
  <c r="A71" i="1"/>
  <c r="U70" i="1"/>
  <c r="O70" i="1"/>
  <c r="L70" i="1"/>
  <c r="K70" i="1"/>
  <c r="A70" i="1"/>
  <c r="U69" i="1"/>
  <c r="O69" i="1"/>
  <c r="L69" i="1"/>
  <c r="K69" i="1"/>
  <c r="A69" i="1"/>
  <c r="U68" i="1"/>
  <c r="O68" i="1"/>
  <c r="L68" i="1"/>
  <c r="K68" i="1"/>
  <c r="A68" i="1"/>
  <c r="U67" i="1"/>
  <c r="O67" i="1"/>
  <c r="L67" i="1"/>
  <c r="K67" i="1"/>
  <c r="A67" i="1"/>
  <c r="U66" i="1"/>
  <c r="O66" i="1"/>
  <c r="L66" i="1"/>
  <c r="K66" i="1"/>
  <c r="A66" i="1"/>
  <c r="U65" i="1"/>
  <c r="O65" i="1"/>
  <c r="L65" i="1"/>
  <c r="K65" i="1"/>
  <c r="A65" i="1"/>
  <c r="U64" i="1"/>
  <c r="O64" i="1"/>
  <c r="L64" i="1"/>
  <c r="K64" i="1"/>
  <c r="A64" i="1"/>
  <c r="U63" i="1"/>
  <c r="O63" i="1"/>
  <c r="L63" i="1"/>
  <c r="K63" i="1"/>
  <c r="A63" i="1"/>
  <c r="U62" i="1"/>
  <c r="O62" i="1"/>
  <c r="L62" i="1"/>
  <c r="K62" i="1"/>
  <c r="A62" i="1"/>
  <c r="U61" i="1"/>
  <c r="O61" i="1"/>
  <c r="L61" i="1"/>
  <c r="K61" i="1"/>
  <c r="A61" i="1"/>
  <c r="U60" i="1"/>
  <c r="O60" i="1"/>
  <c r="L60" i="1"/>
  <c r="K60" i="1"/>
  <c r="A60" i="1"/>
  <c r="U59" i="1"/>
  <c r="O59" i="1"/>
  <c r="L59" i="1"/>
  <c r="K59" i="1"/>
  <c r="A59" i="1"/>
  <c r="U58" i="1"/>
  <c r="O58" i="1"/>
  <c r="L58" i="1"/>
  <c r="K58" i="1"/>
  <c r="A58" i="1"/>
  <c r="U57" i="1"/>
  <c r="O57" i="1"/>
  <c r="L57" i="1"/>
  <c r="K57" i="1"/>
  <c r="A57" i="1"/>
  <c r="U56" i="1"/>
  <c r="O56" i="1"/>
  <c r="L56" i="1"/>
  <c r="K56" i="1"/>
  <c r="A56" i="1"/>
  <c r="U55" i="1"/>
  <c r="O55" i="1"/>
  <c r="L55" i="1"/>
  <c r="K55" i="1"/>
  <c r="A55" i="1"/>
  <c r="U54" i="1"/>
  <c r="O54" i="1"/>
  <c r="L54" i="1"/>
  <c r="K54" i="1"/>
  <c r="A54" i="1"/>
  <c r="U53" i="1"/>
  <c r="O53" i="1"/>
  <c r="L53" i="1"/>
  <c r="K53" i="1"/>
  <c r="A53" i="1"/>
  <c r="U52" i="1"/>
  <c r="O52" i="1"/>
  <c r="L52" i="1"/>
  <c r="K52" i="1"/>
  <c r="A52" i="1"/>
  <c r="U51" i="1"/>
  <c r="O51" i="1"/>
  <c r="L51" i="1"/>
  <c r="K51" i="1"/>
  <c r="A51" i="1"/>
  <c r="U50" i="1"/>
  <c r="O50" i="1"/>
  <c r="L50" i="1"/>
  <c r="K50" i="1"/>
  <c r="A50" i="1"/>
  <c r="U49" i="1"/>
  <c r="O49" i="1"/>
  <c r="L49" i="1"/>
  <c r="K49" i="1"/>
  <c r="A49" i="1"/>
  <c r="U48" i="1"/>
  <c r="O48" i="1"/>
  <c r="L48" i="1"/>
  <c r="K48" i="1"/>
  <c r="A48" i="1"/>
  <c r="U47" i="1"/>
  <c r="O47" i="1"/>
  <c r="L47" i="1"/>
  <c r="K47" i="1"/>
  <c r="A47" i="1"/>
  <c r="U46" i="1"/>
  <c r="O46" i="1"/>
  <c r="L46" i="1"/>
  <c r="K46" i="1"/>
  <c r="A46" i="1"/>
  <c r="U45" i="1"/>
  <c r="O45" i="1"/>
  <c r="L45" i="1"/>
  <c r="K45" i="1"/>
  <c r="A45" i="1"/>
  <c r="U44" i="1"/>
  <c r="O44" i="1"/>
  <c r="L44" i="1"/>
  <c r="K44" i="1"/>
  <c r="A44" i="1"/>
  <c r="U43" i="1"/>
  <c r="O43" i="1"/>
  <c r="L43" i="1"/>
  <c r="K43" i="1"/>
  <c r="A43" i="1"/>
  <c r="U42" i="1"/>
  <c r="O42" i="1"/>
  <c r="L42" i="1"/>
  <c r="K42" i="1"/>
  <c r="A42" i="1"/>
  <c r="U41" i="1"/>
  <c r="O41" i="1"/>
  <c r="L41" i="1"/>
  <c r="K41" i="1"/>
  <c r="A41" i="1"/>
  <c r="U40" i="1"/>
  <c r="O40" i="1"/>
  <c r="L40" i="1"/>
  <c r="K40" i="1"/>
  <c r="A40" i="1"/>
  <c r="U39" i="1"/>
  <c r="O39" i="1"/>
  <c r="L39" i="1"/>
  <c r="K39" i="1"/>
  <c r="A39" i="1"/>
  <c r="U38" i="1"/>
  <c r="O38" i="1"/>
  <c r="L38" i="1"/>
  <c r="K38" i="1"/>
  <c r="A38" i="1"/>
  <c r="U37" i="1"/>
  <c r="O37" i="1"/>
  <c r="L37" i="1"/>
  <c r="K37" i="1"/>
  <c r="A37" i="1"/>
  <c r="U36" i="1"/>
  <c r="O36" i="1"/>
  <c r="L36" i="1"/>
  <c r="K36" i="1"/>
  <c r="A36" i="1"/>
  <c r="U35" i="1"/>
  <c r="O35" i="1"/>
  <c r="L35" i="1"/>
  <c r="K35" i="1"/>
  <c r="A35" i="1"/>
  <c r="U34" i="1"/>
  <c r="O34" i="1"/>
  <c r="L34" i="1"/>
  <c r="K34" i="1"/>
  <c r="A34" i="1"/>
  <c r="U33" i="1"/>
  <c r="O33" i="1"/>
  <c r="L33" i="1"/>
  <c r="K33" i="1"/>
  <c r="A33" i="1"/>
  <c r="U32" i="1"/>
  <c r="O32" i="1"/>
  <c r="L32" i="1"/>
  <c r="K32" i="1"/>
  <c r="A32" i="1"/>
  <c r="U31" i="1"/>
  <c r="O31" i="1"/>
  <c r="L31" i="1"/>
  <c r="K31" i="1"/>
  <c r="A31" i="1"/>
  <c r="U30" i="1"/>
  <c r="O30" i="1"/>
  <c r="L30" i="1"/>
  <c r="K30" i="1"/>
  <c r="A30" i="1"/>
  <c r="U29" i="1"/>
  <c r="O29" i="1"/>
  <c r="L29" i="1"/>
  <c r="K29" i="1"/>
  <c r="A29" i="1"/>
  <c r="U28" i="1"/>
  <c r="O28" i="1"/>
  <c r="L28" i="1"/>
  <c r="K28" i="1"/>
  <c r="A28" i="1"/>
  <c r="U27" i="1"/>
  <c r="O27" i="1"/>
  <c r="L27" i="1"/>
  <c r="K27" i="1"/>
  <c r="A27" i="1"/>
  <c r="U26" i="1"/>
  <c r="O26" i="1"/>
  <c r="L26" i="1"/>
  <c r="K26" i="1"/>
  <c r="A26" i="1"/>
  <c r="U25" i="1"/>
  <c r="O25" i="1"/>
  <c r="L25" i="1"/>
  <c r="K25" i="1"/>
  <c r="A25" i="1"/>
  <c r="U24" i="1"/>
  <c r="O24" i="1"/>
  <c r="L24" i="1"/>
  <c r="K24" i="1"/>
  <c r="A24" i="1"/>
  <c r="U23" i="1"/>
  <c r="O23" i="1"/>
  <c r="L23" i="1"/>
  <c r="K23" i="1"/>
  <c r="A23" i="1"/>
  <c r="U22" i="1"/>
  <c r="O22" i="1"/>
  <c r="L22" i="1"/>
  <c r="K22" i="1"/>
  <c r="A22" i="1"/>
  <c r="U21" i="1"/>
  <c r="O21" i="1"/>
  <c r="L21" i="1"/>
  <c r="K21" i="1"/>
  <c r="A21" i="1"/>
  <c r="U20" i="1"/>
  <c r="O20" i="1"/>
  <c r="L20" i="1"/>
  <c r="K20" i="1"/>
  <c r="A20" i="1"/>
  <c r="U19" i="1"/>
  <c r="O19" i="1"/>
  <c r="L19" i="1"/>
  <c r="K19" i="1"/>
  <c r="A19" i="1"/>
  <c r="U18" i="1"/>
  <c r="O18" i="1"/>
  <c r="L18" i="1"/>
  <c r="K18" i="1"/>
  <c r="A18" i="1"/>
  <c r="U17" i="1"/>
  <c r="O17" i="1"/>
  <c r="L17" i="1"/>
  <c r="K17" i="1"/>
  <c r="A17" i="1"/>
  <c r="U16" i="1"/>
  <c r="O16" i="1"/>
  <c r="L16" i="1"/>
  <c r="K16" i="1"/>
  <c r="A16" i="1"/>
  <c r="U15" i="1"/>
  <c r="O15" i="1"/>
  <c r="L15" i="1"/>
  <c r="K15" i="1"/>
  <c r="A15" i="1"/>
  <c r="U14" i="1"/>
  <c r="O14" i="1"/>
  <c r="L14" i="1"/>
  <c r="K14" i="1"/>
  <c r="A14" i="1"/>
  <c r="U13" i="1"/>
  <c r="O13" i="1"/>
  <c r="L13" i="1"/>
  <c r="K13" i="1"/>
  <c r="A13" i="1"/>
  <c r="U12" i="1"/>
  <c r="O12" i="1"/>
  <c r="L12" i="1"/>
  <c r="K12" i="1"/>
  <c r="A12" i="1"/>
  <c r="U11" i="1"/>
  <c r="O11" i="1"/>
  <c r="L11" i="1"/>
  <c r="K11" i="1"/>
  <c r="A11" i="1"/>
  <c r="U10" i="1"/>
  <c r="O10" i="1"/>
  <c r="L10" i="1"/>
  <c r="K10" i="1"/>
  <c r="A10" i="1"/>
  <c r="U9" i="1"/>
  <c r="O9" i="1"/>
  <c r="L9" i="1"/>
  <c r="K9" i="1"/>
  <c r="A9" i="1"/>
  <c r="U8" i="1"/>
  <c r="O8" i="1"/>
  <c r="L8" i="1"/>
  <c r="K8" i="1"/>
  <c r="A8" i="1"/>
  <c r="U7" i="1"/>
  <c r="O7" i="1"/>
  <c r="L7" i="1"/>
  <c r="K7" i="1"/>
  <c r="A7" i="1"/>
  <c r="U6" i="1"/>
  <c r="O6" i="1"/>
  <c r="L6" i="1"/>
  <c r="K6" i="1"/>
  <c r="A6" i="1"/>
  <c r="U5" i="1"/>
  <c r="L5" i="1"/>
  <c r="K5" i="1"/>
  <c r="A5" i="1"/>
  <c r="U4" i="1"/>
  <c r="L4" i="1"/>
  <c r="K4" i="1"/>
  <c r="A4" i="1"/>
  <c r="U3" i="1"/>
  <c r="K3" i="1"/>
  <c r="A3" i="1"/>
  <c r="U2" i="1"/>
  <c r="P2" i="1"/>
  <c r="G5" i="3" s="1"/>
  <c r="O2" i="1"/>
  <c r="L2" i="1"/>
  <c r="K2" i="1"/>
  <c r="A2" i="1"/>
  <c r="E229" i="3" l="1"/>
  <c r="S7" i="2"/>
  <c r="H212" i="3"/>
  <c r="H214" i="3"/>
  <c r="H216" i="3"/>
  <c r="H218" i="3"/>
  <c r="H220" i="3"/>
  <c r="H222" i="3"/>
  <c r="H226" i="3"/>
  <c r="H228" i="3"/>
  <c r="K10" i="2"/>
  <c r="K11" i="2"/>
  <c r="D30" i="6"/>
  <c r="E35" i="6"/>
  <c r="H217" i="3"/>
  <c r="H219" i="3"/>
  <c r="H221" i="3"/>
  <c r="E220" i="3"/>
  <c r="E222" i="3"/>
  <c r="H224" i="3"/>
  <c r="E226" i="3"/>
  <c r="E219" i="3"/>
  <c r="E218" i="3"/>
  <c r="C8" i="2"/>
  <c r="H213" i="3"/>
  <c r="E215" i="3"/>
  <c r="E224" i="3"/>
  <c r="H229" i="3"/>
  <c r="H215" i="3"/>
  <c r="E214" i="3"/>
  <c r="E216" i="3"/>
  <c r="E223" i="3"/>
  <c r="H223" i="3"/>
  <c r="E225" i="3"/>
  <c r="E227" i="3"/>
  <c r="H225" i="3"/>
  <c r="E213" i="3"/>
  <c r="E221" i="3"/>
  <c r="D230" i="3"/>
  <c r="C230" i="3"/>
  <c r="F230" i="3"/>
  <c r="E37" i="6"/>
  <c r="E36" i="6"/>
  <c r="D31" i="6"/>
  <c r="E217" i="3"/>
  <c r="O3" i="1"/>
  <c r="P3" i="1"/>
  <c r="O4" i="1" s="1"/>
  <c r="G230" i="3"/>
  <c r="D10" i="5"/>
  <c r="C7" i="2"/>
  <c r="H230" i="3" l="1"/>
  <c r="E230" i="3"/>
  <c r="G6" i="3"/>
  <c r="H6" i="3" s="1"/>
  <c r="P4" i="1"/>
  <c r="O5" i="1" s="1"/>
  <c r="G7" i="3" l="1"/>
  <c r="H7" i="3" s="1"/>
  <c r="P5" i="1"/>
  <c r="G8" i="3" l="1"/>
  <c r="H8" i="3" s="1"/>
  <c r="P6" i="1"/>
  <c r="G9" i="3" l="1"/>
  <c r="H9" i="3" s="1"/>
  <c r="P7" i="1"/>
  <c r="G10" i="3" l="1"/>
  <c r="H10" i="3" s="1"/>
  <c r="P8" i="1"/>
  <c r="G11" i="3" l="1"/>
  <c r="H11" i="3" s="1"/>
  <c r="P9" i="1"/>
  <c r="P10" i="1" l="1"/>
  <c r="G12" i="3"/>
  <c r="H12" i="3" s="1"/>
  <c r="G13" i="3" l="1"/>
  <c r="H13" i="3" s="1"/>
  <c r="P11" i="1"/>
  <c r="G14" i="3" l="1"/>
  <c r="H14" i="3" s="1"/>
  <c r="P12" i="1"/>
  <c r="G15" i="3" l="1"/>
  <c r="H15" i="3" s="1"/>
  <c r="P13" i="1"/>
  <c r="G16" i="3" l="1"/>
  <c r="H16" i="3" s="1"/>
  <c r="P14" i="1"/>
  <c r="G17" i="3" l="1"/>
  <c r="H17" i="3" s="1"/>
  <c r="P15" i="1"/>
  <c r="G18" i="3" l="1"/>
  <c r="H18" i="3" s="1"/>
  <c r="P16" i="1"/>
  <c r="G19" i="3" l="1"/>
  <c r="H19" i="3" s="1"/>
  <c r="P17" i="1"/>
  <c r="G20" i="3" l="1"/>
  <c r="H20" i="3" s="1"/>
  <c r="P18" i="1"/>
  <c r="G21" i="3" l="1"/>
  <c r="H21" i="3" s="1"/>
  <c r="P19" i="1"/>
  <c r="G22" i="3" l="1"/>
  <c r="H22" i="3" s="1"/>
  <c r="P20" i="1"/>
  <c r="G23" i="3" l="1"/>
  <c r="H23" i="3" s="1"/>
  <c r="P21" i="1"/>
  <c r="G24" i="3" l="1"/>
  <c r="H24" i="3" s="1"/>
  <c r="P22" i="1"/>
  <c r="G25" i="3" l="1"/>
  <c r="H25" i="3" s="1"/>
  <c r="P23" i="1"/>
  <c r="G26" i="3" l="1"/>
  <c r="H26" i="3" s="1"/>
  <c r="P24" i="1"/>
  <c r="G27" i="3" l="1"/>
  <c r="H27" i="3" s="1"/>
  <c r="P25" i="1"/>
  <c r="G28" i="3" l="1"/>
  <c r="H28" i="3" s="1"/>
  <c r="P26" i="1"/>
  <c r="G29" i="3" l="1"/>
  <c r="H29" i="3" s="1"/>
  <c r="P27" i="1"/>
  <c r="G30" i="3" l="1"/>
  <c r="H30" i="3" s="1"/>
  <c r="P28" i="1"/>
  <c r="G31" i="3" l="1"/>
  <c r="H31" i="3" s="1"/>
  <c r="P29" i="1"/>
  <c r="G32" i="3" l="1"/>
  <c r="H32" i="3" s="1"/>
  <c r="P30" i="1"/>
  <c r="G33" i="3" l="1"/>
  <c r="H33" i="3" s="1"/>
  <c r="P31" i="1"/>
  <c r="G34" i="3" l="1"/>
  <c r="H34" i="3" s="1"/>
  <c r="P32" i="1"/>
  <c r="G35" i="3" l="1"/>
  <c r="H35" i="3" s="1"/>
  <c r="P33" i="1"/>
  <c r="P34" i="1" l="1"/>
  <c r="G36" i="3"/>
  <c r="H36" i="3" s="1"/>
  <c r="G37" i="3" l="1"/>
  <c r="H37" i="3" s="1"/>
  <c r="P35" i="1"/>
  <c r="G38" i="3" l="1"/>
  <c r="H38" i="3" s="1"/>
  <c r="P36" i="1"/>
  <c r="G39" i="3" l="1"/>
  <c r="H39" i="3" s="1"/>
  <c r="P37" i="1"/>
  <c r="G40" i="3" l="1"/>
  <c r="H40" i="3" s="1"/>
  <c r="P38" i="1"/>
  <c r="G41" i="3" l="1"/>
  <c r="H41" i="3" s="1"/>
  <c r="P39" i="1"/>
  <c r="G42" i="3" l="1"/>
  <c r="H42" i="3" s="1"/>
  <c r="P40" i="1"/>
  <c r="G43" i="3" l="1"/>
  <c r="H43" i="3" s="1"/>
  <c r="P41" i="1"/>
  <c r="G44" i="3" l="1"/>
  <c r="H44" i="3" s="1"/>
  <c r="P42" i="1"/>
  <c r="G45" i="3" l="1"/>
  <c r="H45" i="3" s="1"/>
  <c r="P43" i="1"/>
  <c r="G46" i="3" l="1"/>
  <c r="H46" i="3" s="1"/>
  <c r="P44" i="1"/>
  <c r="G47" i="3" l="1"/>
  <c r="H47" i="3" s="1"/>
  <c r="P45" i="1"/>
  <c r="G48" i="3" l="1"/>
  <c r="H48" i="3" s="1"/>
  <c r="P46" i="1"/>
  <c r="G49" i="3" l="1"/>
  <c r="H49" i="3" s="1"/>
  <c r="P47" i="1"/>
  <c r="G50" i="3" l="1"/>
  <c r="H50" i="3" s="1"/>
  <c r="P48" i="1"/>
  <c r="G51" i="3" l="1"/>
  <c r="H51" i="3" s="1"/>
  <c r="P49" i="1"/>
  <c r="G52" i="3" l="1"/>
  <c r="H52" i="3" s="1"/>
  <c r="P50" i="1"/>
  <c r="G53" i="3" l="1"/>
  <c r="H53" i="3" s="1"/>
  <c r="P51" i="1"/>
  <c r="G54" i="3" l="1"/>
  <c r="H54" i="3" s="1"/>
  <c r="P52" i="1"/>
  <c r="G55" i="3" l="1"/>
  <c r="H55" i="3" s="1"/>
  <c r="P53" i="1"/>
  <c r="G56" i="3" l="1"/>
  <c r="H56" i="3" s="1"/>
  <c r="P54" i="1"/>
  <c r="G57" i="3" l="1"/>
  <c r="H57" i="3" s="1"/>
  <c r="P55" i="1"/>
  <c r="G58" i="3" l="1"/>
  <c r="H58" i="3" s="1"/>
  <c r="P56" i="1"/>
  <c r="G59" i="3" l="1"/>
  <c r="H59" i="3" s="1"/>
  <c r="P57" i="1"/>
  <c r="G60" i="3" l="1"/>
  <c r="H60" i="3" s="1"/>
  <c r="P58" i="1"/>
  <c r="G61" i="3" l="1"/>
  <c r="H61" i="3" s="1"/>
  <c r="P59" i="1"/>
  <c r="G62" i="3" l="1"/>
  <c r="H62" i="3" s="1"/>
  <c r="P60" i="1"/>
  <c r="G63" i="3" l="1"/>
  <c r="H63" i="3" s="1"/>
  <c r="P61" i="1"/>
  <c r="G64" i="3" l="1"/>
  <c r="H64" i="3" s="1"/>
  <c r="P62" i="1"/>
  <c r="G65" i="3" l="1"/>
  <c r="H65" i="3" s="1"/>
  <c r="P63" i="1"/>
  <c r="G66" i="3" l="1"/>
  <c r="H66" i="3" s="1"/>
  <c r="P64" i="1"/>
  <c r="G67" i="3" l="1"/>
  <c r="H67" i="3" s="1"/>
  <c r="P65" i="1"/>
  <c r="P66" i="1" l="1"/>
  <c r="G68" i="3"/>
  <c r="H68" i="3" s="1"/>
  <c r="G69" i="3" l="1"/>
  <c r="H69" i="3" s="1"/>
  <c r="P67" i="1"/>
  <c r="G70" i="3" l="1"/>
  <c r="H70" i="3" s="1"/>
  <c r="P68" i="1"/>
  <c r="G71" i="3" l="1"/>
  <c r="H71" i="3" s="1"/>
  <c r="P69" i="1"/>
  <c r="G72" i="3" l="1"/>
  <c r="H72" i="3" s="1"/>
  <c r="P70" i="1"/>
  <c r="G73" i="3" l="1"/>
  <c r="H73" i="3" s="1"/>
  <c r="P71" i="1"/>
  <c r="G74" i="3" l="1"/>
  <c r="H74" i="3" s="1"/>
  <c r="P72" i="1"/>
  <c r="G75" i="3" l="1"/>
  <c r="H75" i="3" s="1"/>
  <c r="P73" i="1"/>
  <c r="G76" i="3" l="1"/>
  <c r="H76" i="3" s="1"/>
  <c r="P74" i="1"/>
  <c r="G77" i="3" l="1"/>
  <c r="H77" i="3" s="1"/>
  <c r="P75" i="1"/>
  <c r="G78" i="3" l="1"/>
  <c r="H78" i="3" s="1"/>
  <c r="P76" i="1"/>
  <c r="G79" i="3" l="1"/>
  <c r="H79" i="3" s="1"/>
  <c r="P77" i="1"/>
  <c r="G80" i="3" l="1"/>
  <c r="H80" i="3" s="1"/>
  <c r="P78" i="1"/>
  <c r="G81" i="3" l="1"/>
  <c r="H81" i="3" s="1"/>
  <c r="P79" i="1"/>
  <c r="G82" i="3" l="1"/>
  <c r="H82" i="3" s="1"/>
  <c r="P80" i="1"/>
  <c r="G83" i="3" l="1"/>
  <c r="H83" i="3" s="1"/>
  <c r="P81" i="1"/>
  <c r="G84" i="3" l="1"/>
  <c r="H84" i="3" s="1"/>
  <c r="P82" i="1"/>
  <c r="G85" i="3" l="1"/>
  <c r="H85" i="3" s="1"/>
  <c r="P83" i="1"/>
  <c r="G86" i="3" l="1"/>
  <c r="H86" i="3" s="1"/>
  <c r="P84" i="1"/>
  <c r="G87" i="3" l="1"/>
  <c r="H87" i="3" s="1"/>
  <c r="P85" i="1"/>
  <c r="G88" i="3" l="1"/>
  <c r="H88" i="3" s="1"/>
  <c r="P86" i="1"/>
  <c r="G89" i="3" l="1"/>
  <c r="H89" i="3" s="1"/>
  <c r="P87" i="1"/>
  <c r="G90" i="3" l="1"/>
  <c r="H90" i="3" s="1"/>
  <c r="P88" i="1"/>
  <c r="G91" i="3" l="1"/>
  <c r="H91" i="3" s="1"/>
  <c r="P89" i="1"/>
  <c r="G92" i="3" l="1"/>
  <c r="H92" i="3" s="1"/>
  <c r="P90" i="1"/>
  <c r="G93" i="3" l="1"/>
  <c r="H93" i="3" s="1"/>
  <c r="P91" i="1"/>
  <c r="G94" i="3" l="1"/>
  <c r="H94" i="3" s="1"/>
  <c r="P92" i="1"/>
  <c r="G95" i="3" l="1"/>
  <c r="H95" i="3" s="1"/>
  <c r="P93" i="1"/>
  <c r="G96" i="3" l="1"/>
  <c r="H96" i="3" s="1"/>
  <c r="P94" i="1"/>
  <c r="G97" i="3" l="1"/>
  <c r="H97" i="3" s="1"/>
  <c r="P95" i="1"/>
  <c r="G98" i="3" l="1"/>
  <c r="H98" i="3" s="1"/>
  <c r="P96" i="1"/>
  <c r="G99" i="3" l="1"/>
  <c r="H99" i="3" s="1"/>
  <c r="P97" i="1"/>
  <c r="G100" i="3" l="1"/>
  <c r="H100" i="3" s="1"/>
  <c r="P98" i="1"/>
  <c r="G101" i="3" l="1"/>
  <c r="H101" i="3" s="1"/>
  <c r="P99" i="1"/>
  <c r="G102" i="3" l="1"/>
  <c r="H102" i="3" s="1"/>
  <c r="P100" i="1"/>
  <c r="G103" i="3" l="1"/>
  <c r="H103" i="3" s="1"/>
  <c r="P101" i="1"/>
  <c r="P102" i="1" l="1"/>
  <c r="G104" i="3"/>
  <c r="H104" i="3" s="1"/>
  <c r="G105" i="3" l="1"/>
  <c r="H105" i="3" s="1"/>
  <c r="P103" i="1"/>
  <c r="G106" i="3" l="1"/>
  <c r="H106" i="3" s="1"/>
  <c r="P104" i="1"/>
  <c r="G107" i="3" l="1"/>
  <c r="H107" i="3" s="1"/>
  <c r="P105" i="1"/>
  <c r="P106" i="1" l="1"/>
  <c r="G108" i="3"/>
  <c r="H108" i="3" s="1"/>
  <c r="G109" i="3" l="1"/>
  <c r="H109" i="3" s="1"/>
  <c r="P107" i="1"/>
  <c r="G110" i="3" l="1"/>
  <c r="H110" i="3" s="1"/>
  <c r="P108" i="1"/>
  <c r="G111" i="3" l="1"/>
  <c r="H111" i="3" s="1"/>
  <c r="P109" i="1"/>
  <c r="G112" i="3" l="1"/>
  <c r="H112" i="3" s="1"/>
  <c r="P110" i="1"/>
  <c r="G113" i="3" l="1"/>
  <c r="H113" i="3" s="1"/>
  <c r="P111" i="1"/>
  <c r="G114" i="3" l="1"/>
  <c r="H114" i="3" s="1"/>
  <c r="P112" i="1"/>
  <c r="G115" i="3" l="1"/>
  <c r="H115" i="3" s="1"/>
  <c r="P113" i="1"/>
  <c r="P114" i="1" l="1"/>
  <c r="G116" i="3"/>
  <c r="H116" i="3" s="1"/>
  <c r="G117" i="3" l="1"/>
  <c r="H117" i="3" s="1"/>
  <c r="P115" i="1"/>
  <c r="G118" i="3" l="1"/>
  <c r="H118" i="3" s="1"/>
  <c r="P116" i="1"/>
  <c r="G119" i="3" l="1"/>
  <c r="H119" i="3" s="1"/>
  <c r="P117" i="1"/>
  <c r="P118" i="1" l="1"/>
  <c r="G120" i="3"/>
  <c r="H120" i="3" s="1"/>
  <c r="G121" i="3" l="1"/>
  <c r="H121" i="3" s="1"/>
  <c r="P119" i="1"/>
  <c r="G122" i="3" l="1"/>
  <c r="H122" i="3" s="1"/>
  <c r="P120" i="1"/>
  <c r="G123" i="3" l="1"/>
  <c r="H123" i="3" s="1"/>
  <c r="P121" i="1"/>
  <c r="P122" i="1" l="1"/>
  <c r="G124" i="3"/>
  <c r="H124" i="3" s="1"/>
  <c r="G125" i="3" l="1"/>
  <c r="H125" i="3" s="1"/>
  <c r="P123" i="1"/>
  <c r="G126" i="3" l="1"/>
  <c r="H126" i="3" s="1"/>
  <c r="P124" i="1"/>
  <c r="G127" i="3" l="1"/>
  <c r="H127" i="3" s="1"/>
  <c r="P125" i="1"/>
  <c r="G128" i="3" l="1"/>
  <c r="H128" i="3" s="1"/>
  <c r="P126" i="1"/>
  <c r="G129" i="3" l="1"/>
  <c r="H129" i="3" s="1"/>
  <c r="P127" i="1"/>
  <c r="G130" i="3" l="1"/>
  <c r="H130" i="3" s="1"/>
  <c r="P128" i="1"/>
  <c r="G131" i="3" l="1"/>
  <c r="H131" i="3" s="1"/>
  <c r="P129" i="1"/>
  <c r="P130" i="1" l="1"/>
  <c r="G132" i="3"/>
  <c r="H132" i="3" s="1"/>
  <c r="G133" i="3" l="1"/>
  <c r="H133" i="3" s="1"/>
  <c r="P131" i="1"/>
  <c r="G134" i="3" l="1"/>
  <c r="H134" i="3" s="1"/>
  <c r="P132" i="1"/>
  <c r="G135" i="3" l="1"/>
  <c r="H135" i="3" s="1"/>
  <c r="P133" i="1"/>
  <c r="G136" i="3" l="1"/>
  <c r="H136" i="3" s="1"/>
  <c r="P134" i="1"/>
  <c r="G137" i="3" l="1"/>
  <c r="H137" i="3" s="1"/>
  <c r="P135" i="1"/>
  <c r="G138" i="3" l="1"/>
  <c r="H138" i="3" s="1"/>
  <c r="P136" i="1"/>
  <c r="G139" i="3" l="1"/>
  <c r="H139" i="3" s="1"/>
  <c r="P137" i="1"/>
  <c r="P138" i="1" l="1"/>
  <c r="G140" i="3"/>
  <c r="H140" i="3" s="1"/>
  <c r="G141" i="3" l="1"/>
  <c r="H141" i="3" s="1"/>
  <c r="P139" i="1"/>
  <c r="G142" i="3" l="1"/>
  <c r="H142" i="3" s="1"/>
  <c r="P140" i="1"/>
  <c r="G143" i="3" l="1"/>
  <c r="H143" i="3" s="1"/>
  <c r="P141" i="1"/>
  <c r="G144" i="3" l="1"/>
  <c r="H144" i="3" s="1"/>
  <c r="P142" i="1"/>
  <c r="G145" i="3" l="1"/>
  <c r="H145" i="3" s="1"/>
  <c r="P143" i="1"/>
  <c r="G146" i="3" l="1"/>
  <c r="H146" i="3" s="1"/>
  <c r="P144" i="1"/>
  <c r="G147" i="3" l="1"/>
  <c r="H147" i="3" s="1"/>
  <c r="P145" i="1"/>
  <c r="P146" i="1" l="1"/>
  <c r="G148" i="3"/>
  <c r="H148" i="3" s="1"/>
  <c r="G149" i="3" l="1"/>
  <c r="H149" i="3" s="1"/>
  <c r="P147" i="1"/>
  <c r="G150" i="3" l="1"/>
  <c r="H150" i="3" s="1"/>
  <c r="P148" i="1"/>
  <c r="G151" i="3" l="1"/>
  <c r="H151" i="3" s="1"/>
  <c r="P149" i="1"/>
  <c r="G152" i="3" l="1"/>
  <c r="H152" i="3" s="1"/>
  <c r="P150" i="1"/>
  <c r="G153" i="3" l="1"/>
  <c r="H153" i="3" s="1"/>
  <c r="P151" i="1"/>
  <c r="G154" i="3" l="1"/>
  <c r="H154" i="3" s="1"/>
  <c r="P152" i="1"/>
  <c r="G155" i="3" l="1"/>
  <c r="H155" i="3" s="1"/>
  <c r="P153" i="1"/>
  <c r="G156" i="3" l="1"/>
  <c r="H156" i="3" s="1"/>
  <c r="P154" i="1"/>
  <c r="G157" i="3" l="1"/>
  <c r="H157" i="3" s="1"/>
  <c r="P155" i="1"/>
  <c r="G158" i="3" l="1"/>
  <c r="H158" i="3" s="1"/>
  <c r="P156" i="1"/>
  <c r="G159" i="3" l="1"/>
  <c r="H159" i="3" s="1"/>
  <c r="P157" i="1"/>
  <c r="G160" i="3" l="1"/>
  <c r="H160" i="3" s="1"/>
  <c r="P158" i="1"/>
  <c r="G161" i="3" l="1"/>
  <c r="H161" i="3" s="1"/>
  <c r="P159" i="1"/>
  <c r="G162" i="3" l="1"/>
  <c r="H162" i="3" s="1"/>
  <c r="P160" i="1"/>
  <c r="G163" i="3" l="1"/>
  <c r="H163" i="3" s="1"/>
  <c r="P161" i="1"/>
  <c r="P162" i="1" l="1"/>
  <c r="G164" i="3"/>
  <c r="H164" i="3" s="1"/>
  <c r="G165" i="3" l="1"/>
  <c r="H165" i="3" s="1"/>
  <c r="P163" i="1"/>
  <c r="G166" i="3" l="1"/>
  <c r="H166" i="3" s="1"/>
  <c r="P164" i="1"/>
  <c r="G167" i="3" l="1"/>
  <c r="H167" i="3" s="1"/>
  <c r="P165" i="1"/>
  <c r="P166" i="1" l="1"/>
  <c r="G168" i="3"/>
  <c r="H168" i="3" s="1"/>
  <c r="G169" i="3" l="1"/>
  <c r="H169" i="3" s="1"/>
  <c r="P167" i="1"/>
  <c r="G170" i="3" l="1"/>
  <c r="H170" i="3" s="1"/>
  <c r="P168" i="1"/>
  <c r="G171" i="3" l="1"/>
  <c r="H171" i="3" s="1"/>
  <c r="P169" i="1"/>
  <c r="P170" i="1" l="1"/>
  <c r="G172" i="3"/>
  <c r="H172" i="3" s="1"/>
  <c r="G173" i="3" l="1"/>
  <c r="H173" i="3" s="1"/>
  <c r="P171" i="1"/>
  <c r="G174" i="3" l="1"/>
  <c r="H174" i="3" s="1"/>
  <c r="P172" i="1"/>
  <c r="G175" i="3" l="1"/>
  <c r="H175" i="3" s="1"/>
  <c r="P173" i="1"/>
  <c r="G176" i="3" l="1"/>
  <c r="H176" i="3" s="1"/>
  <c r="P174" i="1"/>
  <c r="G177" i="3" l="1"/>
  <c r="H177" i="3" s="1"/>
  <c r="P175" i="1"/>
  <c r="G178" i="3" l="1"/>
  <c r="H178" i="3" s="1"/>
  <c r="P176" i="1"/>
  <c r="G179" i="3" l="1"/>
  <c r="H179" i="3" s="1"/>
  <c r="P177" i="1"/>
  <c r="P178" i="1" l="1"/>
  <c r="G180" i="3"/>
  <c r="H180" i="3" s="1"/>
  <c r="G181" i="3" l="1"/>
  <c r="H181" i="3" s="1"/>
  <c r="P179" i="1"/>
  <c r="G182" i="3" l="1"/>
  <c r="H182" i="3" s="1"/>
  <c r="P180" i="1"/>
  <c r="G183" i="3" l="1"/>
  <c r="H183" i="3" s="1"/>
  <c r="P181" i="1"/>
  <c r="P182" i="1" l="1"/>
  <c r="G184" i="3"/>
  <c r="H184" i="3" s="1"/>
  <c r="G185" i="3" l="1"/>
  <c r="H185" i="3" s="1"/>
  <c r="P183" i="1"/>
  <c r="G186" i="3" l="1"/>
  <c r="H186" i="3" s="1"/>
  <c r="P184" i="1"/>
  <c r="G187" i="3" l="1"/>
  <c r="H187" i="3" s="1"/>
  <c r="P185" i="1"/>
  <c r="G188" i="3" l="1"/>
  <c r="H188" i="3" s="1"/>
  <c r="P186" i="1"/>
  <c r="G189" i="3" l="1"/>
  <c r="H189" i="3" s="1"/>
  <c r="P187" i="1"/>
  <c r="G190" i="3" l="1"/>
  <c r="H190" i="3" s="1"/>
  <c r="P188" i="1"/>
  <c r="G191" i="3" l="1"/>
  <c r="H191" i="3" s="1"/>
  <c r="P189" i="1"/>
  <c r="G192" i="3" l="1"/>
  <c r="H192" i="3" s="1"/>
  <c r="P190" i="1"/>
  <c r="G193" i="3" l="1"/>
  <c r="H193" i="3" s="1"/>
  <c r="P191" i="1"/>
  <c r="G194" i="3" l="1"/>
  <c r="H194" i="3" s="1"/>
  <c r="P192" i="1"/>
  <c r="G195" i="3" l="1"/>
  <c r="H195" i="3" s="1"/>
  <c r="P193" i="1"/>
  <c r="P194" i="1" l="1"/>
  <c r="G196" i="3"/>
  <c r="H196" i="3" s="1"/>
  <c r="G197" i="3" l="1"/>
  <c r="H197" i="3" s="1"/>
  <c r="P195" i="1"/>
  <c r="G198" i="3" l="1"/>
  <c r="H198" i="3" s="1"/>
  <c r="P196" i="1"/>
  <c r="G199" i="3" l="1"/>
  <c r="H199" i="3" s="1"/>
  <c r="P197" i="1"/>
  <c r="P198" i="1" l="1"/>
  <c r="G200" i="3"/>
  <c r="H200" i="3" s="1"/>
  <c r="G201" i="3" l="1"/>
  <c r="H201" i="3" s="1"/>
  <c r="P199" i="1"/>
  <c r="G202" i="3" l="1"/>
  <c r="H202" i="3" s="1"/>
  <c r="P200" i="1"/>
  <c r="G203" i="3" l="1"/>
  <c r="H203" i="3" s="1"/>
  <c r="P201" i="1"/>
  <c r="S11" i="2" l="1"/>
  <c r="E21" i="2"/>
  <c r="E20" i="2"/>
  <c r="C6" i="2"/>
  <c r="G204" i="3"/>
  <c r="H204" i="3" s="1"/>
  <c r="D21" i="2"/>
  <c r="D20" i="2"/>
</calcChain>
</file>

<file path=xl/sharedStrings.xml><?xml version="1.0" encoding="utf-8"?>
<sst xmlns="http://schemas.openxmlformats.org/spreadsheetml/2006/main" count="710" uniqueCount="587">
  <si>
    <t>#</t>
  </si>
  <si>
    <t>Ngày mở</t>
  </si>
  <si>
    <t>Ngày đóng</t>
  </si>
  <si>
    <t>Cặp tiền</t>
  </si>
  <si>
    <t>Lot</t>
  </si>
  <si>
    <t>Vị thế</t>
  </si>
  <si>
    <t>Điểm vào</t>
  </si>
  <si>
    <t>Dừng lỗ</t>
  </si>
  <si>
    <t>Chốt lời</t>
  </si>
  <si>
    <t>Điểm thoát</t>
  </si>
  <si>
    <t>R:R plan</t>
  </si>
  <si>
    <t>R thực tế</t>
  </si>
  <si>
    <t>Kết quả</t>
  </si>
  <si>
    <t>P&amp;L ($)</t>
  </si>
  <si>
    <t>% P&amp;L</t>
  </si>
  <si>
    <t>Số dư ($)</t>
  </si>
  <si>
    <t>Tín hiệu</t>
  </si>
  <si>
    <t>Phiên GD</t>
  </si>
  <si>
    <t>Chất lượng</t>
  </si>
  <si>
    <t>Tâm lý</t>
  </si>
  <si>
    <t>Thời gian</t>
  </si>
  <si>
    <t>Bài học / Ghi chú</t>
  </si>
  <si>
    <t>Chart</t>
  </si>
  <si>
    <t>BTC/USD</t>
  </si>
  <si>
    <t>Mua</t>
  </si>
  <si>
    <t>Thắng</t>
  </si>
  <si>
    <t>Accumulation</t>
  </si>
  <si>
    <t>GOLD</t>
  </si>
  <si>
    <t>Thua</t>
  </si>
  <si>
    <t>Distribution</t>
  </si>
  <si>
    <t>US100</t>
  </si>
  <si>
    <t>TỔNG</t>
  </si>
  <si>
    <t>Kết quả tổng hợp</t>
  </si>
  <si>
    <t>📊  NHẬT KÝ GIAO DỊCH  —  DASHBOARD HIỆU SUẤT</t>
  </si>
  <si>
    <t>A. VỐN &amp; LỢI NHUẬN</t>
  </si>
  <si>
    <t>B. KPI HIỆU SUẤT</t>
  </si>
  <si>
    <t>C. RỦI RO &amp; DRAWDOWN</t>
  </si>
  <si>
    <t>💰 Vốn ban đầu ($)</t>
  </si>
  <si>
    <t>✅ Tổng số lệnh</t>
  </si>
  <si>
    <t>⬇️ Max Drawdown ($)</t>
  </si>
  <si>
    <t>💵 Vốn hiện tại ($)</t>
  </si>
  <si>
    <t>🏅 Lệnh Thắng</t>
  </si>
  <si>
    <t>⬇️ Max Drawdown (%)</t>
  </si>
  <si>
    <t>📈 Tổng P&amp;L ($)</t>
  </si>
  <si>
    <t>❌ Lệnh Thua</t>
  </si>
  <si>
    <t>🔁 Recovery Factor</t>
  </si>
  <si>
    <t>📊 Tổng % lợi nhuận</t>
  </si>
  <si>
    <t>🎯 Win Rate (%)</t>
  </si>
  <si>
    <t>📊 Lệnh Mua (Win%)</t>
  </si>
  <si>
    <t>🏆 Best trade ($)</t>
  </si>
  <si>
    <t>⚡ Profit Factor</t>
  </si>
  <si>
    <t>📊 Lệnh Bán (Win%)</t>
  </si>
  <si>
    <t>💥 Worst trade ($)</t>
  </si>
  <si>
    <t>💡 Expectancy ($/lệnh)</t>
  </si>
  <si>
    <t>📅 Lỗ hôm nay ($)</t>
  </si>
  <si>
    <t>📅 Hôm nay ($)</t>
  </si>
  <si>
    <t>📐 Avg R:R thực tế</t>
  </si>
  <si>
    <t>🚨 Drawdown từ đỉnh (%)</t>
  </si>
  <si>
    <t>📉 Avg Win ($)</t>
  </si>
  <si>
    <t>⚠️ Lệnh thua liên tiếp</t>
  </si>
  <si>
    <t>🕐 Cập nhật:</t>
  </si>
  <si>
    <t>📉 Avg Loss ($)</t>
  </si>
  <si>
    <t>D. GIÁM SÁT NGÀY  (Daily Risk Monitor)</t>
  </si>
  <si>
    <t>E. PHÂN TÍCH THEO TÍN HIỆU</t>
  </si>
  <si>
    <t>F. PHÂN TÍCH THEO PHIÊN GD</t>
  </si>
  <si>
    <t>Lệnh hôm nay</t>
  </si>
  <si>
    <t>Số lệnh</t>
  </si>
  <si>
    <t>Win Rate</t>
  </si>
  <si>
    <t>Net P&amp;L</t>
  </si>
  <si>
    <t>Phiên</t>
  </si>
  <si>
    <t>Lỗ hôm nay ($)</t>
  </si>
  <si>
    <t>London</t>
  </si>
  <si>
    <t>Thua liên tiếp</t>
  </si>
  <si>
    <t>New York</t>
  </si>
  <si>
    <t>Drawdown từ đỉnh (%)</t>
  </si>
  <si>
    <t>Spring</t>
  </si>
  <si>
    <t>Overlap</t>
  </si>
  <si>
    <t>Vốn hiện tại ($)</t>
  </si>
  <si>
    <t>UTAD</t>
  </si>
  <si>
    <t>Tokyo</t>
  </si>
  <si>
    <t>Backup</t>
  </si>
  <si>
    <t>Sydney</t>
  </si>
  <si>
    <t>Demand</t>
  </si>
  <si>
    <t>Supply</t>
  </si>
  <si>
    <t>MPL</t>
  </si>
  <si>
    <t>QML</t>
  </si>
  <si>
    <t>G. NGUYÊN TẮC TRADING</t>
  </si>
  <si>
    <t>H. HƯỚNG DẪN SỬ DỤNG NHẬT KÝ</t>
  </si>
  <si>
    <t>1. Quản lý vốn theo % tài khoản — nghiêm ngặt</t>
  </si>
  <si>
    <t>1. Nhập liệu vào ô màu XANH LÁ trong sheet '📝 Nhật Ký'</t>
  </si>
  <si>
    <t>2. Phân tích kỹ trước khi đặt lệnh</t>
  </si>
  <si>
    <t>2. BẮT ĐẦU bằng sheet '🏦 Lịch Sử Vốn' — nhập vốn ban đầu</t>
  </si>
  <si>
    <t>3. Chỉ vào lệnh khi có kế hoạch rõ ràng</t>
  </si>
  <si>
    <t>3. Mỗi lệnh điền: Ngày/Cặp/Lot/Vị thế/Entry/SL/TP/Exit/Kết quả/P&amp;L</t>
  </si>
  <si>
    <t>4. Khó phân tích → KHÔNG vào lệnh</t>
  </si>
  <si>
    <t>4. Cột Kết quả (M) và P&amp;L (N) là BẮT BUỘC — mọi thống kê phụ thuộc vào đây</t>
  </si>
  <si>
    <t>5. Tối đa hóa lợi nhuận, giảm thiểu rủi ro</t>
  </si>
  <si>
    <t>5. Chỉ sửa tín hiệu trong '⚙️ Config' nếu muốn thêm Wyckoff signal mới</t>
  </si>
  <si>
    <t>6. Không thua lỗ quá 10% vốn đang có</t>
  </si>
  <si>
    <t>6. Checklist trước lệnh trong sheet '✅ Checklist'</t>
  </si>
  <si>
    <t>7. Tối đa 2 lệnh cùng lúc, cùng ngày</t>
  </si>
  <si>
    <t>7. Review tháng trong sheet '📋 Review Tháng'</t>
  </si>
  <si>
    <t>8. Deal 1 đúng → Deal 2 được mở</t>
  </si>
  <si>
    <t>8. Biểu đồ tự động cập nhật khi có đủ 5+ lệnh</t>
  </si>
  <si>
    <t>9. Market = xác suất, mọi thứ đều có thể xảy ra</t>
  </si>
  <si>
    <t>9. Color xanh = input | Color xám = công thức (không sửa)</t>
  </si>
  <si>
    <t>10. Không trade khi tâm lý không ổn định</t>
  </si>
  <si>
    <t>10. Backup file Excel định kỳ hàng tuần</t>
  </si>
  <si>
    <t>📡  KÊNH &amp; TÀI NGUYÊN</t>
  </si>
  <si>
    <t>📞  LIÊN HỆ  —  Contact</t>
  </si>
  <si>
    <t xml:space="preserve">  🌐 Website Khoá học Wyckoff</t>
  </si>
  <si>
    <t>Tham gia →</t>
  </si>
  <si>
    <t xml:space="preserve">  📞 Zalo</t>
  </si>
  <si>
    <t>Tại đây →</t>
  </si>
  <si>
    <t xml:space="preserve">  🔊 Group Telegram Wyckoff VN</t>
  </si>
  <si>
    <t xml:space="preserve">  ✉️ Telegram (Joshua)</t>
  </si>
  <si>
    <t xml:space="preserve">  🔊 Fanpage Facebook</t>
  </si>
  <si>
    <t xml:space="preserve">  👤 Facebook (Joshua)</t>
  </si>
  <si>
    <t xml:space="preserve">  📚 Thư viện tài liệu</t>
  </si>
  <si>
    <t xml:space="preserve">  ✉️ Email công việc</t>
  </si>
  <si>
    <t>info@ratiotrading.vn</t>
  </si>
  <si>
    <t xml:space="preserve">  ✉️ Email hỗ trợ khoá học</t>
  </si>
  <si>
    <t>info@ratiotrading.academy</t>
  </si>
  <si>
    <t>"  Hệ thống giao dịch chuyên nghiệp theo Phương pháp Wyckoff  —  Ratio Trading Academy  "</t>
  </si>
  <si>
    <t>📈  DỮ LIỆU EQUITY CURVE  —  Tự động từ Nhật Ký</t>
  </si>
  <si>
    <t>Drawdown (%)</t>
  </si>
  <si>
    <t>📅  P&amp;L THEO THÁNG  (Monthly Breakdown)</t>
  </si>
  <si>
    <t>Tháng</t>
  </si>
  <si>
    <t>Tổng lãi ($)</t>
  </si>
  <si>
    <t>Tổng lỗ ($)</t>
  </si>
  <si>
    <t>Net P&amp;L ($)</t>
  </si>
  <si>
    <t>T1/2025</t>
  </si>
  <si>
    <t>T2/2025</t>
  </si>
  <si>
    <t>T3/2025</t>
  </si>
  <si>
    <t>T4/2025</t>
  </si>
  <si>
    <t>T5/2025</t>
  </si>
  <si>
    <t>T6/2025</t>
  </si>
  <si>
    <t>T7/2025</t>
  </si>
  <si>
    <t>T8/2025</t>
  </si>
  <si>
    <t>T9/2025</t>
  </si>
  <si>
    <t>T10/2025</t>
  </si>
  <si>
    <t>T11/2025</t>
  </si>
  <si>
    <t>T12/2025</t>
  </si>
  <si>
    <t>T1/2026</t>
  </si>
  <si>
    <t>T2/2026</t>
  </si>
  <si>
    <t>T3/2026</t>
  </si>
  <si>
    <t>T4/2026</t>
  </si>
  <si>
    <t>T5/2026</t>
  </si>
  <si>
    <t>T6/2026</t>
  </si>
  <si>
    <t>✅  CHECKLIST TRƯỚC KHI VÀO LỆNH  —  Pre-Trade SOP</t>
  </si>
  <si>
    <t xml:space="preserve">  1.  XÁC ĐỊNH BỐI CẢNH THỊ TRƯỜNG</t>
  </si>
  <si>
    <t>1</t>
  </si>
  <si>
    <t>Tăng / Giảm / Sideway</t>
  </si>
  <si>
    <t>2</t>
  </si>
  <si>
    <t>Trading Range đang là Tích lũy hay Phân phối?</t>
  </si>
  <si>
    <t>Accumulation / Distribution / Chưa rõ</t>
  </si>
  <si>
    <t>3</t>
  </si>
  <si>
    <t>Phase Wyckoff hiện tại?</t>
  </si>
  <si>
    <t>A / B / C / D / E</t>
  </si>
  <si>
    <t>4</t>
  </si>
  <si>
    <t>Có sự kiện tin tức quan trọng hôm nay?</t>
  </si>
  <si>
    <t>CPI / NFP / FOMC / Không có</t>
  </si>
  <si>
    <t>5</t>
  </si>
  <si>
    <t>Đang trong khung giờ giao dịch? (13h–22h VN)</t>
  </si>
  <si>
    <t>London / New York / Overlap</t>
  </si>
  <si>
    <t xml:space="preserve">  2.  9 WYCKOFF BUYING TESTS  (Tích lũy)</t>
  </si>
  <si>
    <t>T1</t>
  </si>
  <si>
    <t>Đã hoàn thành target xu hướng giảm trước đó</t>
  </si>
  <si>
    <t>Giá đã đến vùng mục tiêu downtrend</t>
  </si>
  <si>
    <t>T2</t>
  </si>
  <si>
    <t>Xuất hiện PS, SC, ST — xác nhận CHOCH</t>
  </si>
  <si>
    <t>Change of Character rõ ràng</t>
  </si>
  <si>
    <t>T3</t>
  </si>
  <si>
    <t>Hành động tăng giá càng về sau càng rõ</t>
  </si>
  <si>
    <t>Volume tăng khi giá tăng, giảm khi giá giảm</t>
  </si>
  <si>
    <t>T4</t>
  </si>
  <si>
    <t>Xuất hiện Spring hoặc Shakeout</t>
  </si>
  <si>
    <t>Phá vỡ giả xuống, hấp thụ cung</t>
  </si>
  <si>
    <t>T5</t>
  </si>
  <si>
    <t>Giá phá vỡ cấu trúc giảm — Higher High hình thành</t>
  </si>
  <si>
    <t>Break of structure upward</t>
  </si>
  <si>
    <t>T6</t>
  </si>
  <si>
    <t>Higher Low xác nhận cấu trúc tăng</t>
  </si>
  <si>
    <t>HL sau breakout = xu hướng tăng xác nhận</t>
  </si>
  <si>
    <t>T7</t>
  </si>
  <si>
    <t>Tài sản mạnh hơn thị trường chung</t>
  </si>
  <si>
    <t>So sánh với BTC, VN-Index, DXY</t>
  </si>
  <si>
    <t>T8</t>
  </si>
  <si>
    <t>Vùng tích lũy ngang hình thành rõ ràng</t>
  </si>
  <si>
    <t>Trading range có biên rõ ràng</t>
  </si>
  <si>
    <t>T9</t>
  </si>
  <si>
    <t>R:R tiềm năng ≥ 3:1 — đã xác định Entry/SL/TP</t>
  </si>
  <si>
    <t>Không vào lệnh nếu R:R &lt; 2:1</t>
  </si>
  <si>
    <t>✦</t>
  </si>
  <si>
    <t>Tổng số test ĐẠT (điền thủ công):</t>
  </si>
  <si>
    <t xml:space="preserve">  3.  KẾ HOẠCH VÀO LỆNH  (Entry Plan)</t>
  </si>
  <si>
    <t>P1</t>
  </si>
  <si>
    <t>Cặp tiền giao dịch</t>
  </si>
  <si>
    <t>VD: XAU/USD</t>
  </si>
  <si>
    <t>P2</t>
  </si>
  <si>
    <t>Vị thế (Mua / Bán)</t>
  </si>
  <si>
    <t>Mua / Bán</t>
  </si>
  <si>
    <t>P3</t>
  </si>
  <si>
    <t>Điểm vào dự kiến (Entry)</t>
  </si>
  <si>
    <t>VD: 2,350.00</t>
  </si>
  <si>
    <t>P4</t>
  </si>
  <si>
    <t>Điểm dừng lỗ (Stop Loss)</t>
  </si>
  <si>
    <t>VD: 2,320 → SL = 30 pips</t>
  </si>
  <si>
    <t>P5</t>
  </si>
  <si>
    <t>Điểm chốt lời (Take Profit)</t>
  </si>
  <si>
    <t>VD: 2,440 → R:R = 3:1</t>
  </si>
  <si>
    <t>P6</t>
  </si>
  <si>
    <t>Khối lượng lệnh (Lot size)</t>
  </si>
  <si>
    <t>P7</t>
  </si>
  <si>
    <t>% Rủi ro của lệnh này</t>
  </si>
  <si>
    <t>≤ 2% tổng vốn</t>
  </si>
  <si>
    <t>P8</t>
  </si>
  <si>
    <t>Chiến lược thoát lệnh</t>
  </si>
  <si>
    <t>Full TP / Partial 50%+50% / Trailing SL</t>
  </si>
  <si>
    <t>P9</t>
  </si>
  <si>
    <t>Kế hoạch B nếu sai</t>
  </si>
  <si>
    <t>Chấp nhận lỗ — KHÔNG average down</t>
  </si>
  <si>
    <t xml:space="preserve">  4.  CỬA RỦI RO CUỐI  (Final Risk Gate — TẤT CẢ phải ✅)</t>
  </si>
  <si>
    <t>G1</t>
  </si>
  <si>
    <t>Tổng lỗ hôm nay còn trong giới hạn ≤ 2% vốn?</t>
  </si>
  <si>
    <t>❌ Chạm limit → DỪNG ngay</t>
  </si>
  <si>
    <t>G2</t>
  </si>
  <si>
    <t>Tâm lý hiện tại ≥ Bình thường?</t>
  </si>
  <si>
    <t>❌ Lo lắng/Tham lam → KHÔNG vào</t>
  </si>
  <si>
    <t>G3</t>
  </si>
  <si>
    <t>Chưa thua 2 lệnh liên tiếp hôm nay?</t>
  </si>
  <si>
    <t>❌ Đã thua 2 lần → Nghỉ hôm nay</t>
  </si>
  <si>
    <t>G4</t>
  </si>
  <si>
    <t>Lệnh này có trong kế hoạch từ sáng không?</t>
  </si>
  <si>
    <t>❌ Ngoài kế hoạch → BỎ QUA</t>
  </si>
  <si>
    <t>G5</t>
  </si>
  <si>
    <t>Đang mở ít hơn 2 lệnh đồng thời?</t>
  </si>
  <si>
    <t>❌ Max 2 lệnh → Chờ đóng trước</t>
  </si>
  <si>
    <t>G6</t>
  </si>
  <si>
    <t>Deal 1 đúng hướng trước khi mở Deal 2?</t>
  </si>
  <si>
    <t>❌ Deal 1 sai → Đóng máy, không mở Deal 2</t>
  </si>
  <si>
    <t>🔰  QUYẾT ĐỊNH CUỐI CÙNG:    Vào lệnh ✅    /    Bỏ qua ❌    /    Chờ thêm ⏳</t>
  </si>
  <si>
    <t>🔬  QUY TRÌNH PHÂN TÍCH &amp; VÀO LỆNH THEO PHƯƠNG PHÁP WYCKOFF  —  Wyckoff SOP</t>
  </si>
  <si>
    <t>BƯỚC 1</t>
  </si>
  <si>
    <t xml:space="preserve">  PHÂN TÍCH ĐA KHUNG THỜI GIAN  (Top-Down Analysis)</t>
  </si>
  <si>
    <t>✅</t>
  </si>
  <si>
    <t>W/M</t>
  </si>
  <si>
    <t>Weekly / Monthly</t>
  </si>
  <si>
    <t>Xác định xu hướng tổng thể — Uptrend / Downtrend / Sideways</t>
  </si>
  <si>
    <t>D</t>
  </si>
  <si>
    <t>Daily (Ngày)</t>
  </si>
  <si>
    <t>Xác định Trading Range — vẽ biên trên và biên dưới</t>
  </si>
  <si>
    <t>H4</t>
  </si>
  <si>
    <t>H4 (4 giờ)</t>
  </si>
  <si>
    <t>Xác định Phase Wyckoff (A/B/C/D/E) + sự kiện đang xảy ra</t>
  </si>
  <si>
    <t>H1</t>
  </si>
  <si>
    <t>H1 (1 giờ)</t>
  </si>
  <si>
    <t>Tìm điểm vào lệnh chính xác — LPS / BUEC / Creek test</t>
  </si>
  <si>
    <t>⚡</t>
  </si>
  <si>
    <t>⚡  Quy tắc: Luôn phân tích từ khung lớn xuống nhỏ — KHÔNG skip bước nào</t>
  </si>
  <si>
    <t>BƯỚC 2</t>
  </si>
  <si>
    <t xml:space="preserve">  XÁC ĐỊNH TRADING RANGE  (TR Mapping)</t>
  </si>
  <si>
    <t>TR</t>
  </si>
  <si>
    <t>Vẽ biên Trading Range</t>
  </si>
  <si>
    <t>Xác định Resistance (Creek/Ice) và Support rõ ràng</t>
  </si>
  <si>
    <t>↕</t>
  </si>
  <si>
    <t>Đo chiều rộng TR (Width)</t>
  </si>
  <si>
    <t>Width = khoảng cách từ đáy đến đỉnh TR → dùng tính TP</t>
  </si>
  <si>
    <t>ACC</t>
  </si>
  <si>
    <t>Accumulation hay Distribution?</t>
  </si>
  <si>
    <t>Volume tăng đáy = Acc | Volume tăng đỉnh = Dist</t>
  </si>
  <si>
    <t>RE</t>
  </si>
  <si>
    <t>Re-Accumulation / Re-Dist?</t>
  </si>
  <si>
    <t>Nằm trong markup/markdown lớn hơn — xu hướng tiếp diễn</t>
  </si>
  <si>
    <t>⚡  Mục tiêu TP = chiều rộng Trading Range tính từ điểm breakout</t>
  </si>
  <si>
    <t>BƯỚC 3</t>
  </si>
  <si>
    <t xml:space="preserve">  XÁC ĐỊNH PHASE WYCKOFF  (Phase Analysis)</t>
  </si>
  <si>
    <t>PH A</t>
  </si>
  <si>
    <t>Phase A — Stopping Action</t>
  </si>
  <si>
    <t>PS (SC) → AR → Secondary Test (ST): Dừng xu hướng cũ</t>
  </si>
  <si>
    <t>PH B</t>
  </si>
  <si>
    <t>Phase B — Building Cause</t>
  </si>
  <si>
    <t>Multiple ST, SOW/SOS nhỏ: Xây dựng nguyên nhân</t>
  </si>
  <si>
    <t>PH C</t>
  </si>
  <si>
    <t>Phase C — Spring / UTAD Test</t>
  </si>
  <si>
    <t>PH D</t>
  </si>
  <si>
    <t>Phase D — SOS / SOW</t>
  </si>
  <si>
    <t>SOS + LPS (Acc) hoặc SOW + LPSY (Dist): Xu hướng mới bắt đầu</t>
  </si>
  <si>
    <t>PH E</t>
  </si>
  <si>
    <t>Phase E — Markup / Markdown</t>
  </si>
  <si>
    <t>Giá rời khỏi TR hoàn toàn — Mua ở Acc, Bán ở Dist</t>
  </si>
  <si>
    <t>⚡  Điểm vào lệnh TỐT NHẤT: Phase C (Spring/UTAD) và Phase D (LPS/LPSY)</t>
  </si>
  <si>
    <t>BƯỚC 4</t>
  </si>
  <si>
    <t xml:space="preserve">  PHÂN TÍCH VOLUME SPREAD  (VSA)</t>
  </si>
  <si>
    <t>EFT</t>
  </si>
  <si>
    <t>Effort vs Result</t>
  </si>
  <si>
    <t>Volume lớn + giá ít di chuyển = hấp thụ | Effort ≠ Result = cảnh báo</t>
  </si>
  <si>
    <t>↑V</t>
  </si>
  <si>
    <t>Volume tăng + Giá tăng</t>
  </si>
  <si>
    <t>Buying pressure — Xác nhận Accumulation đang diễn ra</t>
  </si>
  <si>
    <t>Volume tăng + Giá giảm</t>
  </si>
  <si>
    <t>Selling pressure — Xác nhận Distribution đang diễn ra</t>
  </si>
  <si>
    <t>ST</t>
  </si>
  <si>
    <t>Stopping Volume</t>
  </si>
  <si>
    <t>Volume đột biến tại đáy/đỉnh = smart money hấp thụ / phân phối</t>
  </si>
  <si>
    <t>NO</t>
  </si>
  <si>
    <t>No Supply / No Demand</t>
  </si>
  <si>
    <t>Volume thấp khi test = phe đối lập đã rút lui → tín hiệu mạnh</t>
  </si>
  <si>
    <t>⚡  No Supply sau Spring = tín hiệu mạnh nhất để Long | No Demand sau UTAD = Short</t>
  </si>
  <si>
    <t>BƯỚC 5</t>
  </si>
  <si>
    <t xml:space="preserve">  XÁC ĐỊNH ĐIỂM VÀO LỆNH  (Entry Confirmation)</t>
  </si>
  <si>
    <t>LPS</t>
  </si>
  <si>
    <t>Last Point of Support (Mua)</t>
  </si>
  <si>
    <t>Pullback về test Creek sau SOS — volume giảm = xác nhận</t>
  </si>
  <si>
    <t>LPSY</t>
  </si>
  <si>
    <t>Last Point of Supply (Bán)</t>
  </si>
  <si>
    <t>Rebound về test Ice sau SOW — volume giảm = xác nhận</t>
  </si>
  <si>
    <t>BUEC</t>
  </si>
  <si>
    <t>Back Up to Edge of Creek</t>
  </si>
  <si>
    <t>Giá breakout Creek → quay lại test = điểm mua lý tưởng</t>
  </si>
  <si>
    <t>ICE</t>
  </si>
  <si>
    <t>Back Down to Ice test</t>
  </si>
  <si>
    <t>Giá breakdown Ice → rebound test = điểm bán lý tưởng</t>
  </si>
  <si>
    <t>CON</t>
  </si>
  <si>
    <t>Confluence Zone</t>
  </si>
  <si>
    <t>Entry tại: Demand/Supply + Creek/Ice + VSA No Supply/Demand</t>
  </si>
  <si>
    <t>⚡  Entry lý tưởng = LPS/LPSY + Confluence + Volume xác nhận + trong khung giờ tốt</t>
  </si>
  <si>
    <t>BƯỚC 6</t>
  </si>
  <si>
    <t xml:space="preserve">  TÍNH TOÁN R:R &amp; POSITION SIZE  (Risk Management)</t>
  </si>
  <si>
    <t>SL</t>
  </si>
  <si>
    <t>Stop Loss</t>
  </si>
  <si>
    <t>Đặt dưới Spring (Acc) hoặc trên Upthrust/UTAD (Dist) — có buffer</t>
  </si>
  <si>
    <t>TP</t>
  </si>
  <si>
    <t>Take Profit</t>
  </si>
  <si>
    <t>TP1 = 1:1 R:R | TP2 = chiều rộng TR | TP3 = điểm Count Wyckoff</t>
  </si>
  <si>
    <t>R:R</t>
  </si>
  <si>
    <t>Tính Risk-Reward Ratio</t>
  </si>
  <si>
    <t>R:R ≥ 2:1 tối thiểu | R:R ≥ 3:1 lý tưởng → nếu &lt; 2:1 BỎ QUA</t>
  </si>
  <si>
    <t>LOT</t>
  </si>
  <si>
    <t>Position Size</t>
  </si>
  <si>
    <t>Lot = (Vốn × %Risk) ÷ (SL_pips × Pip_value) — xem 💰 Quản Lý Vốn</t>
  </si>
  <si>
    <t>PART</t>
  </si>
  <si>
    <t>Partial exit strategy</t>
  </si>
  <si>
    <t>50% đóng tại TP1 → move SL to BE → để 50% chạy đến TP2</t>
  </si>
  <si>
    <t>⚡  KHÔNG vào lệnh nếu R:R &lt; 2:1 — dù setup đẹp đến đâu cũng không worth it</t>
  </si>
  <si>
    <t>BƯỚC 7</t>
  </si>
  <si>
    <t xml:space="preserve">  ÁP DỤNG 9 WYCKOFF TESTS  (Final Confirmation)</t>
  </si>
  <si>
    <t>9T</t>
  </si>
  <si>
    <t>Chạy 9 Buying/Selling Tests</t>
  </si>
  <si>
    <t>Xem sheet 🔬 Wyckoff Tests — điền kết quả Đạt/Không Đạt</t>
  </si>
  <si>
    <t>≥7</t>
  </si>
  <si>
    <t>Tối thiểu 7/9 Tests phải ĐẠT</t>
  </si>
  <si>
    <t>Nếu &lt; 7 tests đạt → KHÔNG vào lệnh — chờ thêm</t>
  </si>
  <si>
    <t>CK</t>
  </si>
  <si>
    <t>Quay lại Checklist Section 1-4</t>
  </si>
  <si>
    <t>Xác nhận Market Context + Entry Plan + Risk Gate</t>
  </si>
  <si>
    <t>GO</t>
  </si>
  <si>
    <t>Điều kiện đủ → VÀO LỆNH</t>
  </si>
  <si>
    <t>Record đầy đủ vào 📝 Nhật Ký — điền tất cả 23 cột</t>
  </si>
  <si>
    <t>LOG</t>
  </si>
  <si>
    <t>Ghi bài học ngay sau lệnh</t>
  </si>
  <si>
    <t>Điền cột "Bài học / Ghi chú" — dù thắng hay thua</t>
  </si>
  <si>
    <t>🔰  HOÀN THÀNH 7 BƯỚC  →  Vào lệnh tự tin  ✅   |   Thiếu bước nào  →  DỪNG &amp; chờ cơ hội khác  ❌</t>
  </si>
  <si>
    <t>📌  TÓM TẮT NHANH  (Quick Reference)</t>
  </si>
  <si>
    <t xml:space="preserve">  B1. Top-Down (W→D→H4→H1)   B2. Vẽ Trading Range   B3. Xác định Phase</t>
  </si>
  <si>
    <t xml:space="preserve">  B4. VSA Effort vs Result    B5. Entry (LPS/BUEC)   B6. Tính R:R &amp; Lot size</t>
  </si>
  <si>
    <t xml:space="preserve">  B7. 9 Tests ≥ 7/9 ĐẠT   →   Vào lệnh   →   Ghi Nhật Ký ngay sau đó</t>
  </si>
  <si>
    <t>📋  KIỂM ĐIỂM CUỐI THÁNG  —  Monthly Performance Review</t>
  </si>
  <si>
    <t>📅 Tháng đánh giá:</t>
  </si>
  <si>
    <t>← Nhập tháng cần đánh giá (nhập ngày đầu tháng)</t>
  </si>
  <si>
    <t>A.  KPI TỰ ĐỘNG  (kéo từ Dashboard)</t>
  </si>
  <si>
    <t>Win Rate (%)</t>
  </si>
  <si>
    <t>Max Drawdown (%)</t>
  </si>
  <si>
    <t>Profit Factor</t>
  </si>
  <si>
    <t>Tổng số lệnh</t>
  </si>
  <si>
    <t>Expectancy ($/lệnh)</t>
  </si>
  <si>
    <t>Avg R:R thực tế</t>
  </si>
  <si>
    <t>Net P&amp;L tổng ($)</t>
  </si>
  <si>
    <t>Recovery Factor</t>
  </si>
  <si>
    <t>B.  TỰ ĐÁNH GIÁ  (Điền thủ công — hãy thành thật với bản thân)</t>
  </si>
  <si>
    <t xml:space="preserve">  Q1  3 điều làm TỐT NHẤT trong tháng này là gì?</t>
  </si>
  <si>
    <t xml:space="preserve">  Q2  3 điều cần CẢI THIỆN trong tháng tới?</t>
  </si>
  <si>
    <t xml:space="preserve">  Q3  Setup nào có EDGE cao nhất? Tại sao?</t>
  </si>
  <si>
    <t xml:space="preserve">  Q4  Phiên giao dịch nào HIỆU QUẢ nhất với bạn?</t>
  </si>
  <si>
    <t xml:space="preserve">  Q5  Lệnh nào VI PHẠM nguyên tắc? Bài học rút ra?</t>
  </si>
  <si>
    <t xml:space="preserve">  Q6  TÂM LÝ ảnh hưởng đến kết quả như thế nào?</t>
  </si>
  <si>
    <t xml:space="preserve">  Q7  MỤC TIÊU cụ thể đo lường được cho tháng tới?</t>
  </si>
  <si>
    <t xml:space="preserve">  Q8  Cần THAY ĐỔI gì trong hệ thống giao dịch?</t>
  </si>
  <si>
    <t>🏆  ĐIỂM TỰ CHẤM THÁNG NÀY:    A+  /  A  /  B  /  C  /  D</t>
  </si>
  <si>
    <t>💰  QUẢN LÝ VỐN THEO % TÀI KHOẢN  —  Risk Management</t>
  </si>
  <si>
    <t>📊  BẢNG RISK THEO QUY MÔ VỐN</t>
  </si>
  <si>
    <t>Max risk/ngày</t>
  </si>
  <si>
    <t>$100  →  $1,000</t>
  </si>
  <si>
    <t>2%/Deal1 + 2%/Deal2</t>
  </si>
  <si>
    <t>Max 4%/ngày</t>
  </si>
  <si>
    <t>$1,000  →  $10,000</t>
  </si>
  <si>
    <t>1.5%/Deal1 + 1.5%/Deal2</t>
  </si>
  <si>
    <t>Max 3%/ngày</t>
  </si>
  <si>
    <t>$10,000  →  $25,000</t>
  </si>
  <si>
    <t>1%/Deal1 + 1%/Deal2</t>
  </si>
  <si>
    <t>Max 2%/ngày</t>
  </si>
  <si>
    <t>$25,000  →  $100,000</t>
  </si>
  <si>
    <t>0.5%/Deal1 + 0.5%/Deal2</t>
  </si>
  <si>
    <t>Max 1%/ngày</t>
  </si>
  <si>
    <t>Trên $100,000</t>
  </si>
  <si>
    <t>0.25%/Deal1 + 0.25%/Deal2</t>
  </si>
  <si>
    <t>Max 0.5%/ngày</t>
  </si>
  <si>
    <t>📌  QUY TẮC KIỂM SOÁT DRAWDOWN</t>
  </si>
  <si>
    <t>●  Thua tổng limit/ngày</t>
  </si>
  <si>
    <t>→ Nghỉ 1-2 ngày, xem xét lại hệ thống</t>
  </si>
  <si>
    <t>●  Thua 10% tổng vốn</t>
  </si>
  <si>
    <t>→ Nghỉ 1 tuần, ổn định tâm lý &amp; phương pháp</t>
  </si>
  <si>
    <t>●  Thua 2 lệnh liên tiếp</t>
  </si>
  <si>
    <t>→ Dừng ngay trong ngày hôm đó</t>
  </si>
  <si>
    <t>●  Deal 1 sai</t>
  </si>
  <si>
    <t>→ KHÔNG mở Deal 2 — đóng máy</t>
  </si>
  <si>
    <t>●  Nguyên tắc 1</t>
  </si>
  <si>
    <t>→ Không để mất tiền</t>
  </si>
  <si>
    <t>●  Nguyên tắc 2</t>
  </si>
  <si>
    <t>→ Không quên Nguyên tắc 1</t>
  </si>
  <si>
    <t>⚡  MÁY TÍNH POSITION SIZE  (Nhập ô màu xanh lá)</t>
  </si>
  <si>
    <t>💵 Kích thước tài khoản ($)</t>
  </si>
  <si>
    <t>← Tự động từ Lịch Sử Vốn</t>
  </si>
  <si>
    <t>⚠️ % Rủi ro / lệnh</t>
  </si>
  <si>
    <t>← Nhập</t>
  </si>
  <si>
    <t>📏 Khoảng cách SL (pips)</t>
  </si>
  <si>
    <t>💲 Giá trị pip ($)</t>
  </si>
  <si>
    <t>▼  KẾT QUẢ TÍNH TOÁN</t>
  </si>
  <si>
    <t>💵 Tiền rủi ro tối đa ($)</t>
  </si>
  <si>
    <t>📊 Lot chuẩn (Standard)</t>
  </si>
  <si>
    <t>📊 Mini Lot (×10)</t>
  </si>
  <si>
    <t>📊 Cent Lot (×100)</t>
  </si>
  <si>
    <t>📐  PHÂN BỔ VỐN THEO 3 MỨC GIÁ  (Price Allocation)</t>
  </si>
  <si>
    <t>Giá hợp lý (Fair value)</t>
  </si>
  <si>
    <t>20%</t>
  </si>
  <si>
    <t>Giá tốt (Good price)</t>
  </si>
  <si>
    <t>Giá rất tốt (Best price)</t>
  </si>
  <si>
    <t>60%</t>
  </si>
  <si>
    <t>"  HÃY QUẢN LÝ VỐN THEO NGUYÊN TẮC VÀ KỶ LUẬT  "</t>
  </si>
  <si>
    <t>📊  CÔNG THỨC TÍNH LÃI KÉP  —  Compound Interest Calculator</t>
  </si>
  <si>
    <t>A.  LÃI KÉP CƠ BẢN  (FV = PV × (1+r)^n)</t>
  </si>
  <si>
    <t>Số tiền gốc (PV)</t>
  </si>
  <si>
    <t>Lãi suất / năm (r)</t>
  </si>
  <si>
    <t>Số năm (n)</t>
  </si>
  <si>
    <t>▼  Kết quả</t>
  </si>
  <si>
    <t>Giá trị cuối kỳ (FV)</t>
  </si>
  <si>
    <t>Tiền lãi kép</t>
  </si>
  <si>
    <t>Dùng hàm FV()</t>
  </si>
  <si>
    <t>B.  LÃI KÉP THEO QUÝ  (Quarterly Compounding)</t>
  </si>
  <si>
    <t>Số lần ghép lãi / năm</t>
  </si>
  <si>
    <t>C.  QUY TẮC 72  (Thời gian tăng gấp đôi)</t>
  </si>
  <si>
    <t>Lãi suất / năm (%)</t>
  </si>
  <si>
    <t>← Nhập lãi suất</t>
  </si>
  <si>
    <t>Thời gian tăng gấp đôi</t>
  </si>
  <si>
    <t>D.  TÍNH NGƯỢC  (Cần tiết kiệm bao nhiêu?)</t>
  </si>
  <si>
    <t>Số tiền mục tiêu (FV)</t>
  </si>
  <si>
    <t>← Mục tiêu tài chính</t>
  </si>
  <si>
    <t>Lãi suất / năm</t>
  </si>
  <si>
    <t>Số năm</t>
  </si>
  <si>
    <t>Cần tiết kiệm ngay bây giờ (PV)</t>
  </si>
  <si>
    <t>Cần tiết kiệm mỗi năm (PMT)</t>
  </si>
  <si>
    <t>Cần tiết kiệm mỗi tháng (PMT/12)</t>
  </si>
  <si>
    <t>🔬  9 WYCKOFF BUYING &amp; SELLING TESTS  —  Checklist Tích lũy &amp; Phân phối</t>
  </si>
  <si>
    <t>XAU/USD</t>
  </si>
  <si>
    <t>Đạt</t>
  </si>
  <si>
    <t>XAG/USD</t>
  </si>
  <si>
    <t>Không Đạt</t>
  </si>
  <si>
    <t>ETH/USD</t>
  </si>
  <si>
    <t>USOIL</t>
  </si>
  <si>
    <t>EUR/USD</t>
  </si>
  <si>
    <t>GBP/USD</t>
  </si>
  <si>
    <t>AUD/USD</t>
  </si>
  <si>
    <t>NZD/USD</t>
  </si>
  <si>
    <t>USD/JPY</t>
  </si>
  <si>
    <t>USD/CAD</t>
  </si>
  <si>
    <t>USD/CHF</t>
  </si>
  <si>
    <t>VNI30</t>
  </si>
  <si>
    <t>HPG</t>
  </si>
  <si>
    <t>MBB</t>
  </si>
  <si>
    <t>📋  9 BUYING TESTS  (Accumulation)</t>
  </si>
  <si>
    <t>📋  9 SELLING TESTS  (Distribution)</t>
  </si>
  <si>
    <t>Test #1</t>
  </si>
  <si>
    <t>Đã hoàn thành target xu hướng GIẢM trước đó</t>
  </si>
  <si>
    <t>Đã hoàn thành target xu hướng TĂNG trước đó</t>
  </si>
  <si>
    <t>Test #2</t>
  </si>
  <si>
    <t>Xuất hiện PS, SC, ST — xác nhận CHOCH giảm</t>
  </si>
  <si>
    <t>Xuất hiện PSY, BC, ST — xác nhận CHOCH tăng</t>
  </si>
  <si>
    <t>Test #3</t>
  </si>
  <si>
    <t>Hành động TĂNG giá ngày càng rõ ràng hơn</t>
  </si>
  <si>
    <t>Hành động GIẢM giá ngày càng rõ ràng hơn</t>
  </si>
  <si>
    <t>Test #4</t>
  </si>
  <si>
    <t>Xuất hiện Spring hoặc Shakeout (test cung)</t>
  </si>
  <si>
    <t>Xuất hiện Upthrust hoặc UTAD (test cầu)</t>
  </si>
  <si>
    <t>Test #5</t>
  </si>
  <si>
    <t>Giá phá vỡ cấu trúc giảm → Higher High</t>
  </si>
  <si>
    <t>Giá phá vỡ cấu trúc tăng → Lower Low</t>
  </si>
  <si>
    <t>Test #6</t>
  </si>
  <si>
    <t>Higher Low xác nhận xu hướng tăng</t>
  </si>
  <si>
    <t>Lower High xác nhận xu hướng giảm</t>
  </si>
  <si>
    <t>Test #7</t>
  </si>
  <si>
    <t>Tài sản yếu hơn thị trường chung</t>
  </si>
  <si>
    <t>Test #8</t>
  </si>
  <si>
    <t>Vùng tích lũy ngang hình thành rõ</t>
  </si>
  <si>
    <t>Vùng phân phối ngang hình thành rõ</t>
  </si>
  <si>
    <t>Test #9</t>
  </si>
  <si>
    <t>R:R tiềm năng ≥ 3:1, Entry/SL/TP rõ ràng</t>
  </si>
  <si>
    <t>⏰  THỜI GIAN GIAO DỊCH  —  Market Sessions &amp; Best Hours</t>
  </si>
  <si>
    <t>Giờ NY (UTC-4)</t>
  </si>
  <si>
    <t>Giờ VN (UTC+7)</t>
  </si>
  <si>
    <t>Mở cửa (VN)</t>
  </si>
  <si>
    <t>Đóng cửa (VN)</t>
  </si>
  <si>
    <t>🇦🇺 Sydney</t>
  </si>
  <si>
    <t>17:00 – 02:00</t>
  </si>
  <si>
    <t>04:00 – 13:00</t>
  </si>
  <si>
    <t>04:00</t>
  </si>
  <si>
    <t>13:00</t>
  </si>
  <si>
    <t>🇯🇵 Tokyo</t>
  </si>
  <si>
    <t>19:00 – 04:00</t>
  </si>
  <si>
    <t>06:00 – 15:00</t>
  </si>
  <si>
    <t>06:00</t>
  </si>
  <si>
    <t>15:00</t>
  </si>
  <si>
    <t>🇬🇧 London</t>
  </si>
  <si>
    <t>02:00 – 11:00</t>
  </si>
  <si>
    <t>13:00 – 22:00</t>
  </si>
  <si>
    <t>22:00</t>
  </si>
  <si>
    <t>🇺🇸 New York</t>
  </si>
  <si>
    <t>08:00 – 17:00</t>
  </si>
  <si>
    <t>19:00</t>
  </si>
  <si>
    <t>⚡  OVERLAP LONDON + NEW YORK:  19:00 – 22:00 (VN)  —  PHIÊN MẠNH NHẤT</t>
  </si>
  <si>
    <t>📌  QUY TẮC THỜI GIAN GIAO DỊCH</t>
  </si>
  <si>
    <t>🔥 Hot sessions</t>
  </si>
  <si>
    <t>Tập trung vào phiên London (13h-22h VN) &amp; New York (19h-04h VN)</t>
  </si>
  <si>
    <t>📅 Ngày giao dịch</t>
  </si>
  <si>
    <t>Thứ 2 – Thứ 6  |  Đặc biệt chú ý: Thứ 3, Thứ 4, Thứ 5</t>
  </si>
  <si>
    <t>🎯 Khung giờ tốt</t>
  </si>
  <si>
    <t>13:00 – 22:00 (giờ Việt Nam)  |  Core London + Core New York</t>
  </si>
  <si>
    <t>⚡ Entry timing</t>
  </si>
  <si>
    <t>Chỉ vào lệnh ở 15 phút ĐẦU và 15 phút CUỐI mỗi phiên</t>
  </si>
  <si>
    <t>📰 Tin tức</t>
  </si>
  <si>
    <t>Kết hợp xem xét NFP, FOMC, CPI — tránh vào lệnh trước tin 30 phút</t>
  </si>
  <si>
    <t>🚫 Tránh</t>
  </si>
  <si>
    <t>Thứ 2 sáng sớm &amp; Thứ 6 chiều tối — volume thấp, spread rộng</t>
  </si>
  <si>
    <t>🎯  CORE HOURS  (Khung giờ chất lượng cao nhất)</t>
  </si>
  <si>
    <t>Core London</t>
  </si>
  <si>
    <t>02:15 – 03:45 (NY)  =  13:15 – 14:45 (VN)</t>
  </si>
  <si>
    <t>Core New York</t>
  </si>
  <si>
    <t>07:45 – 09:45 (NY)  =  18:45 – 20:45 (VN)</t>
  </si>
  <si>
    <t>08:00 – 11:00 (NY)  =  19:00 – 22:00 (VN)</t>
  </si>
  <si>
    <t>🏦  LỊCH SỬ VỐN  —  Nạp / Rút tiền tài khoản</t>
  </si>
  <si>
    <t>Loại</t>
  </si>
  <si>
    <t>Số tiền ($)</t>
  </si>
  <si>
    <t>Số dư tích lũy ($)</t>
  </si>
  <si>
    <t>Ghi chú</t>
  </si>
  <si>
    <t>Nạp</t>
  </si>
  <si>
    <t>TỔNG VỐN HIỆN TẠI</t>
  </si>
  <si>
    <t>⚠️  Ô D43 tự động = Tổng vốn — Nhật Ký Giao Dịch tham chiếu ô này cho công thức Số dư</t>
  </si>
  <si>
    <t>Re-accumulation</t>
  </si>
  <si>
    <t>Re-distribution</t>
  </si>
  <si>
    <t>Shakeout</t>
  </si>
  <si>
    <t>Upthrust</t>
  </si>
  <si>
    <t>US30</t>
  </si>
  <si>
    <t>PS</t>
  </si>
  <si>
    <t>PSY</t>
  </si>
  <si>
    <t>SC</t>
  </si>
  <si>
    <t>BC</t>
  </si>
  <si>
    <t>VCB</t>
  </si>
  <si>
    <t>BID</t>
  </si>
  <si>
    <t>SOS</t>
  </si>
  <si>
    <t>NVL</t>
  </si>
  <si>
    <t>SOW</t>
  </si>
  <si>
    <t>Creek</t>
  </si>
  <si>
    <t>Ice</t>
  </si>
  <si>
    <t>CHOCH</t>
  </si>
  <si>
    <t>AR</t>
  </si>
  <si>
    <t>Bán</t>
  </si>
  <si>
    <t>0.5</t>
  </si>
  <si>
    <t>A</t>
  </si>
  <si>
    <t>Bình thường</t>
  </si>
  <si>
    <t>A+</t>
  </si>
  <si>
    <t>B</t>
  </si>
  <si>
    <t>Tham lam</t>
  </si>
  <si>
    <t>Xu hướng HTF (H4 / Daily) là gì?</t>
  </si>
  <si>
    <t>≥ 7/9 ĐỦ ĐIỀU KIỆN VÀO LỆNH</t>
  </si>
  <si>
    <t>🎓  RATIO TRADING ACADEMY</t>
  </si>
  <si>
    <t>0.1</t>
  </si>
  <si>
    <t>Lo lắng</t>
  </si>
  <si>
    <t>Spring (Acc) hoặc Upthrust/UTAD (Dist): Test Phase |C|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</si>
</sst>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164" formatCode="dd/mm/yyyy"/>
    <numFmt numFmtId="165" formatCode="&quot;$&quot;#,##0.00;[Red]&quot;$&quot;\(#,##0.00\)"/>
    <numFmt numFmtId="166" formatCode="0.000%"/>
    <numFmt numFmtId="167" formatCode="&quot;$&quot;#,##0.00"/>
    <numFmt numFmtId="168" formatCode="&quot;$&quot;\(#,##0.00\)"/>
    <numFmt numFmtId="169" formatCode="0.0%"/>
    <numFmt numFmtId="170" formatCode="&quot;$&quot;#,##0;[Red]&quot;$&quot;\(#,##0\)"/>
    <numFmt numFmtId="171" formatCode="mmmm\ yyyy"/>
    <numFmt numFmtId="172" formatCode="0.0\ &quot;pips&quot;"/>
    <numFmt numFmtId="173" formatCode="&quot;$&quot;0.00000"/>
    <numFmt numFmtId="174" formatCode="0.000\ &quot;lots&quot;"/>
    <numFmt numFmtId="175" formatCode="0.00\ &quot;mini lots&quot;"/>
    <numFmt numFmtId="176" formatCode="0\ &quot;cent lots&quot;"/>
    <numFmt numFmtId="177" formatCode="0\ &quot;năm&quot;"/>
    <numFmt numFmtId="178" formatCode="0\ &quot;lần/năm&quot;"/>
    <numFmt numFmtId="179" formatCode="0.0\ &quot;năm&quot;"/>
    <numFmt numFmtId="180" formatCode="&quot;$&quot;\+#,##0.00;[Red]&quot;$&quot;\(#,##0.00\)"/>
  </numFmts>
  <fonts count="46" x14ac:knownFonts="1">
    <font>
      <sz val="11"/>
      <color theme="1"/>
      <name val="Calibri"/>
      <family val="2"/>
      <scheme val="minor"/>
    </font>
    <font>
      <b/>
      <sz val="9"/>
      <color rgb="FFFFFFFF"/>
      <name val="Calibri"/>
      <family val="2"/>
    </font>
    <font>
      <b/>
      <sz val="9"/>
      <color rgb="FF1F4E79"/>
      <name val="Calibri"/>
      <family val="2"/>
    </font>
    <font>
      <sz val="10"/>
      <color rgb="FF000000"/>
      <name val="Calibri"/>
      <family val="2"/>
    </font>
    <font>
      <sz val="10"/>
      <color rgb="FF1F4E79"/>
      <name val="Calibri"/>
      <family val="2"/>
    </font>
    <font>
      <b/>
      <sz val="10"/>
      <color rgb="FF1F4E79"/>
      <name val="Calibri"/>
      <family val="2"/>
    </font>
    <font>
      <b/>
      <sz val="10"/>
      <color rgb="FFFFFFFF"/>
      <name val="Calibri"/>
      <family val="2"/>
    </font>
    <font>
      <sz val="10"/>
      <color rgb="FFFFFFFF"/>
      <name val="Calibri"/>
      <family val="2"/>
    </font>
    <font>
      <b/>
      <sz val="16"/>
      <color rgb="FFFFFFFF"/>
      <name val="Calibri"/>
      <family val="2"/>
    </font>
    <font>
      <b/>
      <sz val="11"/>
      <color rgb="FFFFFFFF"/>
      <name val="Calibri"/>
      <family val="2"/>
    </font>
    <font>
      <sz val="9"/>
      <color rgb="FF1F4E79"/>
      <name val="Calibri"/>
      <family val="2"/>
    </font>
    <font>
      <b/>
      <sz val="11"/>
      <color rgb="FF1F4E79"/>
      <name val="Calibri"/>
      <family val="2"/>
    </font>
    <font>
      <sz val="8"/>
      <color rgb="FF595959"/>
      <name val="Calibri"/>
      <family val="2"/>
    </font>
    <font>
      <b/>
      <sz val="11"/>
      <color rgb="FFC00000"/>
      <name val="Calibri"/>
      <family val="2"/>
    </font>
    <font>
      <b/>
      <sz val="14"/>
      <color rgb="FFFFFFFF"/>
      <name val="Calibri"/>
      <family val="2"/>
    </font>
    <font>
      <sz val="9"/>
      <color rgb="FF000000"/>
      <name val="Calibri"/>
      <family val="2"/>
    </font>
    <font>
      <b/>
      <sz val="13"/>
      <color rgb="FFFFFFFF"/>
      <name val="Calibri"/>
      <family val="2"/>
    </font>
    <font>
      <sz val="9"/>
      <color rgb="FF595959"/>
      <name val="Calibri"/>
      <family val="2"/>
    </font>
    <font>
      <b/>
      <sz val="10"/>
      <color rgb="FFC00000"/>
      <name val="Calibri"/>
      <family val="2"/>
    </font>
    <font>
      <sz val="9"/>
      <color rgb="FFC00000"/>
      <name val="Calibri"/>
      <family val="2"/>
    </font>
    <font>
      <b/>
      <sz val="13"/>
      <color rgb="FF1F4E79"/>
      <name val="Calibri"/>
      <family val="2"/>
    </font>
    <font>
      <b/>
      <sz val="15"/>
      <color rgb="FFFFFFFF"/>
      <name val="Calibri"/>
      <family val="2"/>
    </font>
    <font>
      <b/>
      <sz val="12"/>
      <color rgb="FF1F4E79"/>
      <name val="Calibri"/>
      <family val="2"/>
    </font>
    <font>
      <b/>
      <sz val="14"/>
      <color rgb="FF1F4E79"/>
      <name val="Calibri"/>
      <family val="2"/>
    </font>
    <font>
      <b/>
      <sz val="9"/>
      <color rgb="FFC00000"/>
      <name val="Calibri"/>
      <family val="2"/>
    </font>
    <font>
      <sz val="10"/>
      <color rgb="FFC00000"/>
      <name val="Calibri"/>
      <family val="2"/>
    </font>
    <font>
      <b/>
      <sz val="12"/>
      <color rgb="FFFFFFFF"/>
      <name val="Calibri"/>
      <family val="2"/>
    </font>
    <font>
      <b/>
      <sz val="11"/>
      <color rgb="FF7030A0"/>
      <name val="Calibri"/>
      <family val="2"/>
    </font>
    <font>
      <sz val="9"/>
      <color rgb="FF375623"/>
      <name val="Calibri"/>
      <family val="2"/>
    </font>
    <font>
      <b/>
      <sz val="9"/>
      <color rgb="FF375623"/>
      <name val="Calibri"/>
      <family val="2"/>
    </font>
    <font>
      <b/>
      <sz val="11"/>
      <color rgb="FF375623"/>
      <name val="Calibri"/>
      <family val="2"/>
    </font>
    <font>
      <b/>
      <sz val="14"/>
      <color rgb="FFFFFFFF"/>
      <name val="Calibri"/>
      <family val="2"/>
    </font>
    <font>
      <b/>
      <sz val="11"/>
      <color rgb="FFFFFFFF"/>
      <name val="Calibri"/>
      <family val="2"/>
    </font>
    <font>
      <sz val="10"/>
      <color rgb="FF1F4E79"/>
      <name val="Calibri"/>
      <family val="2"/>
    </font>
    <font>
      <b/>
      <u/>
      <sz val="10"/>
      <color rgb="FF00897B"/>
      <name val="Calibri"/>
      <family val="2"/>
    </font>
    <font>
      <sz val="10"/>
      <color rgb="FF1F2937"/>
      <name val="Calibri"/>
      <family val="2"/>
    </font>
    <font>
      <b/>
      <u/>
      <sz val="10"/>
      <color rgb="FF375623"/>
      <name val="Calibri"/>
      <family val="2"/>
    </font>
    <font>
      <b/>
      <u/>
      <sz val="10"/>
      <color rgb="FF2E75B6"/>
      <name val="Calibri"/>
      <family val="2"/>
    </font>
    <font>
      <b/>
      <u/>
      <sz val="10"/>
      <color rgb="FFED7D31"/>
      <name val="Calibri"/>
      <family val="2"/>
    </font>
    <font>
      <b/>
      <u/>
      <sz val="10"/>
      <color rgb="FF7030A0"/>
      <name val="Calibri"/>
      <family val="2"/>
    </font>
    <font>
      <b/>
      <sz val="11"/>
      <color rgb="FF1F4E79"/>
      <name val="Calibri"/>
      <family val="2"/>
    </font>
    <font>
      <b/>
      <sz val="10"/>
      <color rgb="FF1F4E79"/>
      <name val="Calibri"/>
      <family val="2"/>
    </font>
    <font>
      <sz val="9"/>
      <color rgb="FF595959"/>
      <name val="Calibri"/>
      <family val="2"/>
    </font>
    <font>
      <b/>
      <sz val="12"/>
      <color rgb="FF1F4E79"/>
      <name val="Calibri"/>
      <family val="2"/>
    </font>
    <font>
      <b/>
      <sz val="10"/>
      <color rgb="FF7030A0"/>
      <name val="Calibri"/>
      <family val="2"/>
    </font>
    <font>
      <sz val="8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1F4E79"/>
      </patternFill>
    </fill>
    <fill>
      <patternFill patternType="solid">
        <fgColor rgb="FF2E75B6"/>
      </patternFill>
    </fill>
    <fill>
      <patternFill patternType="solid">
        <fgColor rgb="FF004C97"/>
      </patternFill>
    </fill>
    <fill>
      <patternFill patternType="solid">
        <fgColor rgb="FF00B0F0"/>
      </patternFill>
    </fill>
    <fill>
      <patternFill patternType="solid">
        <fgColor rgb="FF375623"/>
      </patternFill>
    </fill>
    <fill>
      <patternFill patternType="solid">
        <fgColor rgb="FF7030A0"/>
      </patternFill>
    </fill>
    <fill>
      <patternFill patternType="solid">
        <fgColor rgb="FF595959"/>
      </patternFill>
    </fill>
    <fill>
      <patternFill patternType="solid">
        <fgColor rgb="FFED7D31"/>
      </patternFill>
    </fill>
    <fill>
      <patternFill patternType="solid">
        <fgColor rgb="FFD6DCE4"/>
      </patternFill>
    </fill>
    <fill>
      <patternFill patternType="solid">
        <fgColor rgb="FFE2EFDA"/>
      </patternFill>
    </fill>
    <fill>
      <patternFill patternType="solid">
        <fgColor rgb="FFF2F2F2"/>
      </patternFill>
    </fill>
    <fill>
      <patternFill patternType="solid">
        <fgColor rgb="FFDEEAF1"/>
      </patternFill>
    </fill>
    <fill>
      <patternFill patternType="solid">
        <fgColor rgb="FFFFFDE7"/>
      </patternFill>
    </fill>
    <fill>
      <patternFill patternType="solid">
        <fgColor rgb="FFFFFFFF"/>
      </patternFill>
    </fill>
    <fill>
      <patternFill patternType="solid">
        <fgColor rgb="FFC00000"/>
      </patternFill>
    </fill>
    <fill>
      <patternFill patternType="solid">
        <fgColor rgb="FFFCE4D6"/>
      </patternFill>
    </fill>
    <fill>
      <patternFill patternType="solid">
        <fgColor rgb="FF00B050"/>
      </patternFill>
    </fill>
    <fill>
      <patternFill patternType="solid">
        <fgColor rgb="FFF3EAF7"/>
      </patternFill>
    </fill>
    <fill>
      <patternFill patternType="solid">
        <fgColor rgb="FFFFD966"/>
      </patternFill>
    </fill>
    <fill>
      <patternFill patternType="solid">
        <fgColor rgb="FF1F4E79"/>
      </patternFill>
    </fill>
    <fill>
      <patternFill patternType="solid">
        <fgColor rgb="FF2E75B6"/>
      </patternFill>
    </fill>
    <fill>
      <patternFill patternType="solid">
        <fgColor rgb="FFE0F2F1"/>
      </patternFill>
    </fill>
    <fill>
      <patternFill patternType="solid">
        <fgColor rgb="FFFFFFFF"/>
      </patternFill>
    </fill>
    <fill>
      <patternFill patternType="solid">
        <fgColor rgb="FFDEEAF1"/>
      </patternFill>
    </fill>
    <fill>
      <patternFill patternType="solid">
        <fgColor rgb="FF7030A0"/>
      </patternFill>
    </fill>
    <fill>
      <patternFill patternType="solid">
        <fgColor rgb="FFF3EAF7"/>
      </patternFill>
    </fill>
    <fill>
      <patternFill patternType="solid">
        <fgColor rgb="FFFFD966"/>
      </patternFill>
    </fill>
    <fill>
      <patternFill patternType="solid">
        <fgColor rgb="FF00897B"/>
      </patternFill>
    </fill>
    <fill>
      <patternFill patternType="solid">
        <fgColor rgb="FFF2F2F2"/>
      </patternFill>
    </fill>
    <fill>
      <patternFill patternType="solid">
        <fgColor rgb="FFE2EFDA"/>
      </patternFill>
    </fill>
    <fill>
      <patternFill patternType="solid">
        <fgColor rgb="FF375623"/>
      </patternFill>
    </fill>
    <fill>
      <patternFill patternType="solid">
        <fgColor rgb="FFED7D31"/>
      </patternFill>
    </fill>
    <fill>
      <patternFill patternType="solid">
        <fgColor rgb="FFFCE9D8"/>
      </patternFill>
    </fill>
    <fill>
      <patternFill patternType="solid">
        <fgColor rgb="FFC00000"/>
      </patternFill>
    </fill>
    <fill>
      <patternFill patternType="solid">
        <fgColor rgb="FFFCE4D6"/>
      </patternFill>
    </fill>
  </fills>
  <borders count="17">
    <border>
      <left/>
      <right/>
      <top/>
      <bottom/>
      <diagonal/>
    </border>
    <border>
      <left style="thin">
        <color rgb="FFB8CCE4"/>
      </left>
      <right style="thin">
        <color rgb="FFB8CCE4"/>
      </right>
      <top style="thin">
        <color rgb="FFB8CCE4"/>
      </top>
      <bottom style="thin">
        <color rgb="FFB8CCE4"/>
      </bottom>
      <diagonal/>
    </border>
    <border>
      <left style="thin">
        <color rgb="FFB8CCE4"/>
      </left>
      <right/>
      <top/>
      <bottom/>
      <diagonal/>
    </border>
    <border>
      <left/>
      <right/>
      <top style="thin">
        <color rgb="FFB8CCE4"/>
      </top>
      <bottom/>
      <diagonal/>
    </border>
    <border>
      <left/>
      <right style="thin">
        <color rgb="FFB8CCE4"/>
      </right>
      <top style="thin">
        <color rgb="FFB8CCE4"/>
      </top>
      <bottom/>
      <diagonal/>
    </border>
    <border>
      <left/>
      <right/>
      <top style="thin">
        <color rgb="FFB8CCE4"/>
      </top>
      <bottom style="thin">
        <color rgb="FFB8CCE4"/>
      </bottom>
      <diagonal/>
    </border>
    <border>
      <left/>
      <right style="thin">
        <color rgb="FFB8CCE4"/>
      </right>
      <top style="thin">
        <color rgb="FFB8CCE4"/>
      </top>
      <bottom style="thin">
        <color rgb="FFB8CCE4"/>
      </bottom>
      <diagonal/>
    </border>
    <border>
      <left/>
      <right style="thin">
        <color rgb="FFB8CCE4"/>
      </right>
      <top/>
      <bottom/>
      <diagonal/>
    </border>
    <border>
      <left style="thin">
        <color rgb="FFB8CCE4"/>
      </left>
      <right/>
      <top/>
      <bottom style="thin">
        <color rgb="FFB8CCE4"/>
      </bottom>
      <diagonal/>
    </border>
    <border>
      <left/>
      <right/>
      <top/>
      <bottom style="thin">
        <color rgb="FFB8CCE4"/>
      </bottom>
      <diagonal/>
    </border>
    <border>
      <left/>
      <right style="thin">
        <color rgb="FFB8CCE4"/>
      </right>
      <top/>
      <bottom style="thin">
        <color rgb="FFB8CCE4"/>
      </bottom>
      <diagonal/>
    </border>
    <border>
      <left style="thin">
        <color rgb="FFB8CCE4"/>
      </left>
      <right style="thin">
        <color rgb="FFB8CCE4"/>
      </right>
      <top style="thin">
        <color rgb="FFB8CCE4"/>
      </top>
      <bottom style="thin">
        <color rgb="FFB8CCE4"/>
      </bottom>
      <diagonal/>
    </border>
    <border>
      <left/>
      <right style="thin">
        <color rgb="FFB8CCE4"/>
      </right>
      <top style="thin">
        <color rgb="FFB8CCE4"/>
      </top>
      <bottom/>
      <diagonal/>
    </border>
    <border>
      <left/>
      <right/>
      <top style="thin">
        <color rgb="FFB8CCE4"/>
      </top>
      <bottom style="thin">
        <color rgb="FFB8CCE4"/>
      </bottom>
      <diagonal/>
    </border>
    <border>
      <left/>
      <right style="thin">
        <color rgb="FFB8CCE4"/>
      </right>
      <top style="thin">
        <color rgb="FFB8CCE4"/>
      </top>
      <bottom style="thin">
        <color rgb="FFB8CCE4"/>
      </bottom>
      <diagonal/>
    </border>
    <border>
      <left style="thin">
        <color rgb="FFB8CCE4"/>
      </left>
      <right/>
      <top style="thin">
        <color rgb="FFB8CCE4"/>
      </top>
      <bottom/>
      <diagonal/>
    </border>
    <border>
      <left style="thin">
        <color rgb="FFB8CCE4"/>
      </left>
      <right/>
      <top style="thin">
        <color rgb="FFB8CCE4"/>
      </top>
      <bottom style="thin">
        <color rgb="FFB8CCE4"/>
      </bottom>
      <diagonal/>
    </border>
  </borders>
  <cellStyleXfs count="1">
    <xf numFmtId="0" fontId="0" fillId="0" borderId="0"/>
  </cellStyleXfs>
  <cellXfs count="26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1" fontId="2" fillId="10" borderId="1" xfId="0" applyNumberFormat="1" applyFont="1" applyFill="1" applyBorder="1" applyAlignment="1">
      <alignment horizontal="center" vertical="center"/>
    </xf>
    <xf numFmtId="2" fontId="4" fillId="12" borderId="1" xfId="0" applyNumberFormat="1" applyFont="1" applyFill="1" applyBorder="1" applyAlignment="1">
      <alignment horizontal="center" vertical="center"/>
    </xf>
    <xf numFmtId="166" fontId="4" fillId="12" borderId="1" xfId="0" applyNumberFormat="1" applyFont="1" applyFill="1" applyBorder="1" applyAlignment="1">
      <alignment horizontal="center" vertical="center"/>
    </xf>
    <xf numFmtId="167" fontId="5" fillId="13" borderId="1" xfId="0" applyNumberFormat="1" applyFont="1" applyFill="1" applyBorder="1" applyAlignment="1">
      <alignment horizontal="center" vertical="center"/>
    </xf>
    <xf numFmtId="1" fontId="3" fillId="12" borderId="1" xfId="0" applyNumberFormat="1" applyFont="1" applyFill="1" applyBorder="1" applyAlignment="1">
      <alignment horizontal="center" vertical="center"/>
    </xf>
    <xf numFmtId="0" fontId="3" fillId="1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0" fillId="13" borderId="1" xfId="0" applyFont="1" applyFill="1" applyBorder="1" applyAlignment="1">
      <alignment horizontal="left" vertical="center"/>
    </xf>
    <xf numFmtId="0" fontId="10" fillId="11" borderId="1" xfId="0" applyFont="1" applyFill="1" applyBorder="1" applyAlignment="1">
      <alignment horizontal="left" vertical="center"/>
    </xf>
    <xf numFmtId="0" fontId="10" fillId="17" borderId="1" xfId="0" applyFont="1" applyFill="1" applyBorder="1" applyAlignment="1">
      <alignment horizontal="left" vertical="center"/>
    </xf>
    <xf numFmtId="1" fontId="13" fillId="15" borderId="1" xfId="0" applyNumberFormat="1" applyFont="1" applyFill="1" applyBorder="1" applyAlignment="1">
      <alignment horizontal="center" vertical="center"/>
    </xf>
    <xf numFmtId="0" fontId="2" fillId="19" borderId="1" xfId="0" applyFont="1" applyFill="1" applyBorder="1" applyAlignment="1">
      <alignment horizontal="center" vertical="center"/>
    </xf>
    <xf numFmtId="0" fontId="2" fillId="11" borderId="1" xfId="0" applyFont="1" applyFill="1" applyBorder="1" applyAlignment="1">
      <alignment horizontal="center" vertical="center"/>
    </xf>
    <xf numFmtId="168" fontId="13" fillId="15" borderId="1" xfId="0" applyNumberFormat="1" applyFont="1" applyFill="1" applyBorder="1" applyAlignment="1">
      <alignment horizontal="center" vertical="center"/>
    </xf>
    <xf numFmtId="0" fontId="10" fillId="15" borderId="1" xfId="0" applyFont="1" applyFill="1" applyBorder="1" applyAlignment="1">
      <alignment horizontal="left" vertical="center"/>
    </xf>
    <xf numFmtId="1" fontId="5" fillId="15" borderId="1" xfId="0" applyNumberFormat="1" applyFont="1" applyFill="1" applyBorder="1" applyAlignment="1">
      <alignment horizontal="center" vertical="center"/>
    </xf>
    <xf numFmtId="169" fontId="5" fillId="15" borderId="1" xfId="0" applyNumberFormat="1" applyFont="1" applyFill="1" applyBorder="1" applyAlignment="1">
      <alignment horizontal="center" vertical="center"/>
    </xf>
    <xf numFmtId="170" fontId="5" fillId="15" borderId="1" xfId="0" applyNumberFormat="1" applyFont="1" applyFill="1" applyBorder="1" applyAlignment="1">
      <alignment horizontal="center" vertical="center"/>
    </xf>
    <xf numFmtId="10" fontId="13" fillId="15" borderId="1" xfId="0" applyNumberFormat="1" applyFont="1" applyFill="1" applyBorder="1" applyAlignment="1">
      <alignment horizontal="center" vertical="center"/>
    </xf>
    <xf numFmtId="167" fontId="13" fillId="15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16" borderId="1" xfId="0" applyFont="1" applyFill="1" applyBorder="1" applyAlignment="1">
      <alignment horizontal="center" vertical="center"/>
    </xf>
    <xf numFmtId="1" fontId="10" fillId="12" borderId="1" xfId="0" applyNumberFormat="1" applyFont="1" applyFill="1" applyBorder="1" applyAlignment="1">
      <alignment horizontal="center" vertical="center"/>
    </xf>
    <xf numFmtId="164" fontId="3" fillId="15" borderId="1" xfId="0" applyNumberFormat="1" applyFont="1" applyFill="1" applyBorder="1" applyAlignment="1">
      <alignment horizontal="center" vertical="center"/>
    </xf>
    <xf numFmtId="0" fontId="15" fillId="15" borderId="1" xfId="0" applyFont="1" applyFill="1" applyBorder="1" applyAlignment="1">
      <alignment horizontal="left" vertical="center"/>
    </xf>
    <xf numFmtId="0" fontId="15" fillId="15" borderId="1" xfId="0" applyFont="1" applyFill="1" applyBorder="1" applyAlignment="1">
      <alignment horizontal="center" vertical="center"/>
    </xf>
    <xf numFmtId="165" fontId="3" fillId="15" borderId="1" xfId="0" applyNumberFormat="1" applyFont="1" applyFill="1" applyBorder="1" applyAlignment="1">
      <alignment horizontal="center" vertical="center"/>
    </xf>
    <xf numFmtId="167" fontId="5" fillId="15" borderId="1" xfId="0" applyNumberFormat="1" applyFont="1" applyFill="1" applyBorder="1" applyAlignment="1">
      <alignment horizontal="center" vertical="center"/>
    </xf>
    <xf numFmtId="10" fontId="3" fillId="15" borderId="1" xfId="0" applyNumberFormat="1" applyFont="1" applyFill="1" applyBorder="1" applyAlignment="1">
      <alignment horizontal="center" vertical="center"/>
    </xf>
    <xf numFmtId="0" fontId="2" fillId="15" borderId="1" xfId="0" applyFont="1" applyFill="1" applyBorder="1" applyAlignment="1">
      <alignment horizontal="center" vertical="center"/>
    </xf>
    <xf numFmtId="169" fontId="3" fillId="12" borderId="1" xfId="0" applyNumberFormat="1" applyFont="1" applyFill="1" applyBorder="1" applyAlignment="1">
      <alignment horizontal="center" vertical="center"/>
    </xf>
    <xf numFmtId="167" fontId="3" fillId="12" borderId="1" xfId="0" applyNumberFormat="1" applyFont="1" applyFill="1" applyBorder="1" applyAlignment="1">
      <alignment horizontal="center" vertical="center"/>
    </xf>
    <xf numFmtId="168" fontId="3" fillId="12" borderId="1" xfId="0" applyNumberFormat="1" applyFont="1" applyFill="1" applyBorder="1" applyAlignment="1">
      <alignment horizontal="center" vertical="center"/>
    </xf>
    <xf numFmtId="165" fontId="5" fillId="15" borderId="1" xfId="0" applyNumberFormat="1" applyFont="1" applyFill="1" applyBorder="1" applyAlignment="1">
      <alignment horizontal="center" vertical="center"/>
    </xf>
    <xf numFmtId="167" fontId="6" fillId="2" borderId="1" xfId="0" applyNumberFormat="1" applyFont="1" applyFill="1" applyBorder="1" applyAlignment="1">
      <alignment horizontal="center" vertical="center"/>
    </xf>
    <xf numFmtId="0" fontId="5" fillId="13" borderId="1" xfId="0" applyFont="1" applyFill="1" applyBorder="1" applyAlignment="1">
      <alignment horizontal="center" vertical="center"/>
    </xf>
    <xf numFmtId="0" fontId="4" fillId="13" borderId="1" xfId="0" applyFont="1" applyFill="1" applyBorder="1" applyAlignment="1">
      <alignment horizontal="left" vertical="center" wrapText="1"/>
    </xf>
    <xf numFmtId="0" fontId="17" fillId="12" borderId="1" xfId="0" applyFont="1" applyFill="1" applyBorder="1" applyAlignment="1">
      <alignment horizontal="left" vertical="center" wrapText="1"/>
    </xf>
    <xf numFmtId="0" fontId="6" fillId="6" borderId="1" xfId="0" applyFont="1" applyFill="1" applyBorder="1" applyAlignment="1">
      <alignment horizontal="left" vertical="center" wrapText="1"/>
    </xf>
    <xf numFmtId="0" fontId="2" fillId="20" borderId="1" xfId="0" applyFont="1" applyFill="1" applyBorder="1" applyAlignment="1">
      <alignment horizontal="center" vertical="center"/>
    </xf>
    <xf numFmtId="0" fontId="18" fillId="17" borderId="1" xfId="0" applyFont="1" applyFill="1" applyBorder="1" applyAlignment="1">
      <alignment horizontal="center" vertical="center"/>
    </xf>
    <xf numFmtId="0" fontId="4" fillId="17" borderId="1" xfId="0" applyFont="1" applyFill="1" applyBorder="1" applyAlignment="1">
      <alignment horizontal="left" vertical="center" wrapText="1"/>
    </xf>
    <xf numFmtId="0" fontId="19" fillId="17" borderId="1" xfId="0" applyFont="1" applyFill="1" applyBorder="1" applyAlignment="1">
      <alignment horizontal="left" vertical="center" wrapText="1"/>
    </xf>
    <xf numFmtId="0" fontId="11" fillId="13" borderId="1" xfId="0" applyFont="1" applyFill="1" applyBorder="1" applyAlignment="1">
      <alignment horizontal="left" vertical="center"/>
    </xf>
    <xf numFmtId="0" fontId="4" fillId="13" borderId="1" xfId="0" applyFont="1" applyFill="1" applyBorder="1" applyAlignment="1">
      <alignment horizontal="left" vertical="center"/>
    </xf>
    <xf numFmtId="169" fontId="22" fillId="15" borderId="1" xfId="0" applyNumberFormat="1" applyFont="1" applyFill="1" applyBorder="1" applyAlignment="1">
      <alignment horizontal="center" vertical="center"/>
    </xf>
    <xf numFmtId="10" fontId="22" fillId="15" borderId="1" xfId="0" applyNumberFormat="1" applyFont="1" applyFill="1" applyBorder="1" applyAlignment="1">
      <alignment horizontal="center" vertical="center"/>
    </xf>
    <xf numFmtId="2" fontId="22" fillId="15" borderId="1" xfId="0" applyNumberFormat="1" applyFont="1" applyFill="1" applyBorder="1" applyAlignment="1">
      <alignment horizontal="center" vertical="center"/>
    </xf>
    <xf numFmtId="1" fontId="22" fillId="15" borderId="1" xfId="0" applyNumberFormat="1" applyFont="1" applyFill="1" applyBorder="1" applyAlignment="1">
      <alignment horizontal="center" vertical="center"/>
    </xf>
    <xf numFmtId="167" fontId="22" fillId="15" borderId="1" xfId="0" applyNumberFormat="1" applyFont="1" applyFill="1" applyBorder="1" applyAlignment="1">
      <alignment horizontal="center" vertical="center"/>
    </xf>
    <xf numFmtId="165" fontId="22" fillId="15" borderId="1" xfId="0" applyNumberFormat="1" applyFont="1" applyFill="1" applyBorder="1" applyAlignment="1">
      <alignment horizontal="center" vertical="center"/>
    </xf>
    <xf numFmtId="0" fontId="5" fillId="13" borderId="1" xfId="0" applyFont="1" applyFill="1" applyBorder="1" applyAlignment="1">
      <alignment horizontal="left" vertical="center"/>
    </xf>
    <xf numFmtId="0" fontId="4" fillId="13" borderId="1" xfId="0" applyFont="1" applyFill="1" applyBorder="1" applyAlignment="1">
      <alignment horizontal="center" vertical="center"/>
    </xf>
    <xf numFmtId="0" fontId="24" fillId="17" borderId="1" xfId="0" applyFont="1" applyFill="1" applyBorder="1" applyAlignment="1">
      <alignment horizontal="center" vertical="center"/>
    </xf>
    <xf numFmtId="0" fontId="5" fillId="15" borderId="1" xfId="0" applyFont="1" applyFill="1" applyBorder="1" applyAlignment="1">
      <alignment horizontal="left" vertical="center"/>
    </xf>
    <xf numFmtId="0" fontId="4" fillId="15" borderId="1" xfId="0" applyFont="1" applyFill="1" applyBorder="1" applyAlignment="1">
      <alignment horizontal="center" vertical="center"/>
    </xf>
    <xf numFmtId="0" fontId="5" fillId="17" borderId="1" xfId="0" applyFont="1" applyFill="1" applyBorder="1" applyAlignment="1">
      <alignment horizontal="left" vertical="center" wrapText="1"/>
    </xf>
    <xf numFmtId="0" fontId="25" fillId="17" borderId="1" xfId="0" applyFont="1" applyFill="1" applyBorder="1" applyAlignment="1">
      <alignment horizontal="left" vertical="center" wrapText="1"/>
    </xf>
    <xf numFmtId="0" fontId="12" fillId="12" borderId="1" xfId="0" applyFont="1" applyFill="1" applyBorder="1" applyAlignment="1">
      <alignment horizontal="left" vertical="center"/>
    </xf>
    <xf numFmtId="0" fontId="5" fillId="11" borderId="1" xfId="0" applyFont="1" applyFill="1" applyBorder="1" applyAlignment="1">
      <alignment horizontal="left" vertical="center"/>
    </xf>
    <xf numFmtId="0" fontId="4" fillId="19" borderId="1" xfId="0" applyFont="1" applyFill="1" applyBorder="1" applyAlignment="1">
      <alignment horizontal="left" vertical="center"/>
    </xf>
    <xf numFmtId="0" fontId="27" fillId="19" borderId="1" xfId="0" applyFont="1" applyFill="1" applyBorder="1" applyAlignment="1">
      <alignment horizontal="center" vertical="center"/>
    </xf>
    <xf numFmtId="0" fontId="4" fillId="11" borderId="1" xfId="0" applyFont="1" applyFill="1" applyBorder="1" applyAlignment="1">
      <alignment horizontal="left" vertical="center"/>
    </xf>
    <xf numFmtId="0" fontId="22" fillId="15" borderId="1" xfId="0" applyFont="1" applyFill="1" applyBorder="1" applyAlignment="1">
      <alignment horizontal="center" vertical="center"/>
    </xf>
    <xf numFmtId="4" fontId="22" fillId="15" borderId="1" xfId="0" applyNumberFormat="1" applyFont="1" applyFill="1" applyBorder="1" applyAlignment="1">
      <alignment horizontal="center" vertical="center"/>
    </xf>
    <xf numFmtId="179" fontId="22" fillId="15" borderId="1" xfId="0" applyNumberFormat="1" applyFont="1" applyFill="1" applyBorder="1" applyAlignment="1">
      <alignment horizontal="center" vertical="center"/>
    </xf>
    <xf numFmtId="0" fontId="5" fillId="11" borderId="1" xfId="0" applyFont="1" applyFill="1" applyBorder="1" applyAlignment="1">
      <alignment horizontal="center" vertical="center"/>
    </xf>
    <xf numFmtId="0" fontId="29" fillId="11" borderId="1" xfId="0" applyFont="1" applyFill="1" applyBorder="1" applyAlignment="1">
      <alignment horizontal="center" vertical="center"/>
    </xf>
    <xf numFmtId="0" fontId="29" fillId="15" borderId="1" xfId="0" applyFont="1" applyFill="1" applyBorder="1" applyAlignment="1">
      <alignment horizontal="center" vertical="center"/>
    </xf>
    <xf numFmtId="0" fontId="24" fillId="15" borderId="1" xfId="0" applyFont="1" applyFill="1" applyBorder="1" applyAlignment="1">
      <alignment horizontal="center" vertical="center"/>
    </xf>
    <xf numFmtId="0" fontId="30" fillId="13" borderId="1" xfId="0" applyFont="1" applyFill="1" applyBorder="1" applyAlignment="1">
      <alignment horizontal="center" vertical="center"/>
    </xf>
    <xf numFmtId="0" fontId="13" fillId="13" borderId="1" xfId="0" applyFont="1" applyFill="1" applyBorder="1" applyAlignment="1">
      <alignment horizontal="center" vertical="center"/>
    </xf>
    <xf numFmtId="0" fontId="4" fillId="15" borderId="1" xfId="0" applyFont="1" applyFill="1" applyBorder="1" applyAlignment="1">
      <alignment horizontal="left" vertical="center"/>
    </xf>
    <xf numFmtId="0" fontId="30" fillId="15" borderId="1" xfId="0" applyFont="1" applyFill="1" applyBorder="1" applyAlignment="1">
      <alignment horizontal="center" vertical="center"/>
    </xf>
    <xf numFmtId="0" fontId="13" fillId="15" borderId="1" xfId="0" applyFont="1" applyFill="1" applyBorder="1" applyAlignment="1">
      <alignment horizontal="center" vertical="center"/>
    </xf>
    <xf numFmtId="0" fontId="4" fillId="11" borderId="1" xfId="0" applyFont="1" applyFill="1" applyBorder="1" applyAlignment="1">
      <alignment horizontal="center" vertical="center"/>
    </xf>
    <xf numFmtId="0" fontId="30" fillId="11" borderId="1" xfId="0" applyFont="1" applyFill="1" applyBorder="1" applyAlignment="1">
      <alignment horizontal="center" vertical="center"/>
    </xf>
    <xf numFmtId="0" fontId="13" fillId="11" borderId="1" xfId="0" applyFont="1" applyFill="1" applyBorder="1" applyAlignment="1">
      <alignment horizontal="center" vertical="center"/>
    </xf>
    <xf numFmtId="0" fontId="5" fillId="20" borderId="1" xfId="0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1" fontId="2" fillId="12" borderId="1" xfId="0" applyNumberFormat="1" applyFont="1" applyFill="1" applyBorder="1" applyAlignment="1">
      <alignment horizontal="center" vertical="center"/>
    </xf>
    <xf numFmtId="167" fontId="5" fillId="1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67" fontId="23" fillId="20" borderId="1" xfId="0" applyNumberFormat="1" applyFont="1" applyFill="1" applyBorder="1" applyAlignment="1">
      <alignment horizontal="center" vertical="center"/>
    </xf>
    <xf numFmtId="0" fontId="32" fillId="22" borderId="11" xfId="0" applyFont="1" applyFill="1" applyBorder="1" applyAlignment="1">
      <alignment horizontal="center" vertical="center" wrapText="1"/>
    </xf>
    <xf numFmtId="0" fontId="32" fillId="26" borderId="11" xfId="0" applyFont="1" applyFill="1" applyBorder="1" applyAlignment="1">
      <alignment horizontal="center" vertical="center" wrapText="1"/>
    </xf>
    <xf numFmtId="0" fontId="33" fillId="23" borderId="11" xfId="0" applyFont="1" applyFill="1" applyBorder="1" applyAlignment="1">
      <alignment horizontal="left" vertical="center" wrapText="1"/>
    </xf>
    <xf numFmtId="0" fontId="34" fillId="23" borderId="11" xfId="0" applyFont="1" applyFill="1" applyBorder="1" applyAlignment="1">
      <alignment horizontal="center" vertical="center" wrapText="1"/>
    </xf>
    <xf numFmtId="0" fontId="35" fillId="23" borderId="11" xfId="0" applyFont="1" applyFill="1" applyBorder="1" applyAlignment="1">
      <alignment horizontal="center" vertical="center" wrapText="1"/>
    </xf>
    <xf numFmtId="0" fontId="33" fillId="27" borderId="11" xfId="0" applyFont="1" applyFill="1" applyBorder="1" applyAlignment="1">
      <alignment horizontal="left" vertical="center" wrapText="1"/>
    </xf>
    <xf numFmtId="0" fontId="39" fillId="27" borderId="11" xfId="0" applyFont="1" applyFill="1" applyBorder="1" applyAlignment="1">
      <alignment horizontal="left" vertical="center" wrapText="1"/>
    </xf>
    <xf numFmtId="0" fontId="35" fillId="27" borderId="11" xfId="0" applyFont="1" applyFill="1" applyBorder="1" applyAlignment="1">
      <alignment horizontal="center" vertical="center" wrapText="1"/>
    </xf>
    <xf numFmtId="0" fontId="33" fillId="24" borderId="11" xfId="0" applyFont="1" applyFill="1" applyBorder="1" applyAlignment="1">
      <alignment horizontal="left" vertical="center" wrapText="1"/>
    </xf>
    <xf numFmtId="0" fontId="36" fillId="24" borderId="11" xfId="0" applyFont="1" applyFill="1" applyBorder="1" applyAlignment="1">
      <alignment horizontal="center" vertical="center" wrapText="1"/>
    </xf>
    <xf numFmtId="0" fontId="35" fillId="24" borderId="11" xfId="0" applyFont="1" applyFill="1" applyBorder="1" applyAlignment="1">
      <alignment horizontal="center" vertical="center" wrapText="1"/>
    </xf>
    <xf numFmtId="0" fontId="39" fillId="24" borderId="11" xfId="0" applyFont="1" applyFill="1" applyBorder="1" applyAlignment="1">
      <alignment horizontal="left" vertical="center" wrapText="1"/>
    </xf>
    <xf numFmtId="0" fontId="33" fillId="25" borderId="11" xfId="0" applyFont="1" applyFill="1" applyBorder="1" applyAlignment="1">
      <alignment horizontal="left" vertical="center" wrapText="1"/>
    </xf>
    <xf numFmtId="0" fontId="37" fillId="25" borderId="11" xfId="0" applyFont="1" applyFill="1" applyBorder="1" applyAlignment="1">
      <alignment horizontal="center" vertical="center" wrapText="1"/>
    </xf>
    <xf numFmtId="0" fontId="35" fillId="25" borderId="11" xfId="0" applyFont="1" applyFill="1" applyBorder="1" applyAlignment="1">
      <alignment horizontal="center" vertical="center" wrapText="1"/>
    </xf>
    <xf numFmtId="0" fontId="38" fillId="24" borderId="11" xfId="0" applyFont="1" applyFill="1" applyBorder="1" applyAlignment="1">
      <alignment horizontal="center" vertical="center" wrapText="1"/>
    </xf>
    <xf numFmtId="0" fontId="37" fillId="24" borderId="11" xfId="0" applyFont="1" applyFill="1" applyBorder="1" applyAlignment="1">
      <alignment horizontal="left" vertical="center" wrapText="1"/>
    </xf>
    <xf numFmtId="0" fontId="37" fillId="25" borderId="11" xfId="0" applyFont="1" applyFill="1" applyBorder="1" applyAlignment="1">
      <alignment horizontal="left" vertical="center" wrapText="1"/>
    </xf>
    <xf numFmtId="0" fontId="32" fillId="29" borderId="11" xfId="0" applyFont="1" applyFill="1" applyBorder="1" applyAlignment="1">
      <alignment horizontal="center" vertical="center" wrapText="1"/>
    </xf>
    <xf numFmtId="0" fontId="41" fillId="30" borderId="11" xfId="0" applyFont="1" applyFill="1" applyBorder="1" applyAlignment="1">
      <alignment horizontal="center" vertical="center" wrapText="1"/>
    </xf>
    <xf numFmtId="0" fontId="42" fillId="30" borderId="11" xfId="0" applyFont="1" applyFill="1" applyBorder="1" applyAlignment="1">
      <alignment horizontal="left" vertical="center" wrapText="1"/>
    </xf>
    <xf numFmtId="0" fontId="41" fillId="23" borderId="11" xfId="0" applyFont="1" applyFill="1" applyBorder="1" applyAlignment="1">
      <alignment horizontal="center" vertical="center" wrapText="1"/>
    </xf>
    <xf numFmtId="0" fontId="41" fillId="25" borderId="11" xfId="0" applyFont="1" applyFill="1" applyBorder="1" applyAlignment="1">
      <alignment horizontal="center" vertical="center" wrapText="1"/>
    </xf>
    <xf numFmtId="0" fontId="32" fillId="32" borderId="11" xfId="0" applyFont="1" applyFill="1" applyBorder="1" applyAlignment="1">
      <alignment horizontal="center" vertical="center" wrapText="1"/>
    </xf>
    <xf numFmtId="0" fontId="33" fillId="31" borderId="11" xfId="0" applyFont="1" applyFill="1" applyBorder="1" applyAlignment="1">
      <alignment horizontal="left" vertical="center" wrapText="1"/>
    </xf>
    <xf numFmtId="0" fontId="41" fillId="31" borderId="11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32" fillId="33" borderId="11" xfId="0" applyFont="1" applyFill="1" applyBorder="1" applyAlignment="1">
      <alignment horizontal="center" vertical="center" wrapText="1"/>
    </xf>
    <xf numFmtId="0" fontId="33" fillId="34" borderId="11" xfId="0" applyFont="1" applyFill="1" applyBorder="1" applyAlignment="1">
      <alignment horizontal="left" vertical="center" wrapText="1"/>
    </xf>
    <xf numFmtId="0" fontId="41" fillId="34" borderId="11" xfId="0" applyFont="1" applyFill="1" applyBorder="1" applyAlignment="1">
      <alignment horizontal="center" vertical="center" wrapText="1"/>
    </xf>
    <xf numFmtId="0" fontId="32" fillId="35" borderId="11" xfId="0" applyFont="1" applyFill="1" applyBorder="1" applyAlignment="1">
      <alignment horizontal="center" vertical="center" wrapText="1"/>
    </xf>
    <xf numFmtId="0" fontId="33" fillId="36" borderId="11" xfId="0" applyFont="1" applyFill="1" applyBorder="1" applyAlignment="1">
      <alignment horizontal="left" vertical="center" wrapText="1"/>
    </xf>
    <xf numFmtId="0" fontId="41" fillId="36" borderId="11" xfId="0" applyFont="1" applyFill="1" applyBorder="1" applyAlignment="1">
      <alignment horizontal="center" vertical="center" wrapText="1"/>
    </xf>
    <xf numFmtId="0" fontId="32" fillId="21" borderId="11" xfId="0" applyFont="1" applyFill="1" applyBorder="1" applyAlignment="1">
      <alignment horizontal="center" vertical="center" wrapText="1"/>
    </xf>
    <xf numFmtId="164" fontId="3" fillId="11" borderId="1" xfId="0" applyNumberFormat="1" applyFont="1" applyFill="1" applyBorder="1" applyAlignment="1" applyProtection="1">
      <alignment horizontal="center" vertical="center"/>
      <protection locked="0"/>
    </xf>
    <xf numFmtId="0" fontId="3" fillId="11" borderId="1" xfId="0" applyFont="1" applyFill="1" applyBorder="1" applyAlignment="1" applyProtection="1">
      <alignment horizontal="center" vertical="center"/>
      <protection locked="0"/>
    </xf>
    <xf numFmtId="2" fontId="3" fillId="11" borderId="1" xfId="0" applyNumberFormat="1" applyFont="1" applyFill="1" applyBorder="1" applyAlignment="1" applyProtection="1">
      <alignment horizontal="center" vertical="center"/>
      <protection locked="0"/>
    </xf>
    <xf numFmtId="4" fontId="3" fillId="11" borderId="1" xfId="0" applyNumberFormat="1" applyFont="1" applyFill="1" applyBorder="1" applyAlignment="1" applyProtection="1">
      <alignment horizontal="center" vertical="center"/>
      <protection locked="0"/>
    </xf>
    <xf numFmtId="165" fontId="3" fillId="11" borderId="1" xfId="0" applyNumberFormat="1" applyFont="1" applyFill="1" applyBorder="1" applyAlignment="1" applyProtection="1">
      <alignment horizontal="center" vertical="center"/>
      <protection locked="0"/>
    </xf>
    <xf numFmtId="0" fontId="3" fillId="14" borderId="1" xfId="0" applyFont="1" applyFill="1" applyBorder="1" applyAlignment="1" applyProtection="1">
      <alignment horizontal="left" vertical="center" wrapText="1"/>
      <protection locked="0"/>
    </xf>
    <xf numFmtId="0" fontId="3" fillId="12" borderId="1" xfId="0" applyFont="1" applyFill="1" applyBorder="1" applyAlignment="1" applyProtection="1">
      <alignment horizontal="center" vertical="center"/>
      <protection locked="0"/>
    </xf>
    <xf numFmtId="0" fontId="3" fillId="19" borderId="1" xfId="0" applyFont="1" applyFill="1" applyBorder="1" applyAlignment="1" applyProtection="1">
      <alignment horizontal="center" vertical="center"/>
      <protection locked="0"/>
    </xf>
    <xf numFmtId="0" fontId="35" fillId="31" borderId="11" xfId="0" applyFont="1" applyFill="1" applyBorder="1" applyAlignment="1" applyProtection="1">
      <alignment horizontal="center" vertical="center" wrapText="1"/>
      <protection locked="0"/>
    </xf>
    <xf numFmtId="171" fontId="11" fillId="11" borderId="1" xfId="0" applyNumberFormat="1" applyFont="1" applyFill="1" applyBorder="1" applyAlignment="1" applyProtection="1">
      <alignment horizontal="center" vertical="center"/>
      <protection locked="0"/>
    </xf>
    <xf numFmtId="0" fontId="3" fillId="15" borderId="1" xfId="0" applyFont="1" applyFill="1" applyBorder="1" applyAlignment="1" applyProtection="1">
      <alignment horizontal="center" vertical="center"/>
      <protection locked="0"/>
    </xf>
    <xf numFmtId="10" fontId="11" fillId="11" borderId="1" xfId="0" applyNumberFormat="1" applyFont="1" applyFill="1" applyBorder="1" applyAlignment="1" applyProtection="1">
      <alignment horizontal="center" vertical="center"/>
      <protection locked="0"/>
    </xf>
    <xf numFmtId="172" fontId="11" fillId="11" borderId="1" xfId="0" applyNumberFormat="1" applyFont="1" applyFill="1" applyBorder="1" applyAlignment="1" applyProtection="1">
      <alignment horizontal="center" vertical="center"/>
      <protection locked="0"/>
    </xf>
    <xf numFmtId="173" fontId="11" fillId="11" borderId="1" xfId="0" applyNumberFormat="1" applyFont="1" applyFill="1" applyBorder="1" applyAlignment="1" applyProtection="1">
      <alignment horizontal="center" vertical="center"/>
      <protection locked="0"/>
    </xf>
    <xf numFmtId="0" fontId="11" fillId="11" borderId="1" xfId="0" applyFont="1" applyFill="1" applyBorder="1" applyAlignment="1" applyProtection="1">
      <alignment horizontal="center" vertical="center"/>
      <protection locked="0"/>
    </xf>
    <xf numFmtId="177" fontId="11" fillId="11" borderId="1" xfId="0" applyNumberFormat="1" applyFont="1" applyFill="1" applyBorder="1" applyAlignment="1" applyProtection="1">
      <alignment horizontal="center" vertical="center"/>
      <protection locked="0"/>
    </xf>
    <xf numFmtId="178" fontId="11" fillId="11" borderId="1" xfId="0" applyNumberFormat="1" applyFont="1" applyFill="1" applyBorder="1" applyAlignment="1" applyProtection="1">
      <alignment horizontal="center" vertical="center"/>
      <protection locked="0"/>
    </xf>
    <xf numFmtId="0" fontId="5" fillId="11" borderId="1" xfId="0" applyFont="1" applyFill="1" applyBorder="1" applyAlignment="1" applyProtection="1">
      <alignment horizontal="center" vertical="center"/>
      <protection locked="0"/>
    </xf>
    <xf numFmtId="10" fontId="5" fillId="11" borderId="1" xfId="0" applyNumberFormat="1" applyFont="1" applyFill="1" applyBorder="1" applyAlignment="1" applyProtection="1">
      <alignment horizontal="center" vertical="center"/>
      <protection locked="0"/>
    </xf>
    <xf numFmtId="177" fontId="5" fillId="11" borderId="1" xfId="0" applyNumberFormat="1" applyFont="1" applyFill="1" applyBorder="1" applyAlignment="1" applyProtection="1">
      <alignment horizontal="center" vertical="center"/>
      <protection locked="0"/>
    </xf>
    <xf numFmtId="0" fontId="28" fillId="11" borderId="1" xfId="0" applyFont="1" applyFill="1" applyBorder="1" applyAlignment="1" applyProtection="1">
      <alignment horizontal="center" vertical="center"/>
      <protection locked="0"/>
    </xf>
    <xf numFmtId="0" fontId="15" fillId="13" borderId="1" xfId="0" applyFont="1" applyFill="1" applyBorder="1" applyAlignment="1" applyProtection="1">
      <alignment horizontal="center" vertical="center"/>
      <protection locked="0"/>
    </xf>
    <xf numFmtId="0" fontId="10" fillId="15" borderId="1" xfId="0" applyFont="1" applyFill="1" applyBorder="1" applyAlignment="1" applyProtection="1">
      <alignment horizontal="center" vertical="center"/>
      <protection locked="0"/>
    </xf>
    <xf numFmtId="0" fontId="15" fillId="15" borderId="1" xfId="0" applyFont="1" applyFill="1" applyBorder="1" applyAlignment="1" applyProtection="1">
      <alignment horizontal="center" vertical="center"/>
      <protection locked="0"/>
    </xf>
    <xf numFmtId="0" fontId="10" fillId="13" borderId="1" xfId="0" applyFont="1" applyFill="1" applyBorder="1" applyAlignment="1" applyProtection="1">
      <alignment horizontal="center" vertical="center"/>
      <protection locked="0"/>
    </xf>
    <xf numFmtId="164" fontId="3" fillId="13" borderId="1" xfId="0" applyNumberFormat="1" applyFont="1" applyFill="1" applyBorder="1" applyAlignment="1" applyProtection="1">
      <alignment horizontal="center" vertical="center"/>
      <protection locked="0"/>
    </xf>
    <xf numFmtId="0" fontId="3" fillId="13" borderId="1" xfId="0" applyFont="1" applyFill="1" applyBorder="1" applyAlignment="1" applyProtection="1">
      <alignment horizontal="center" vertical="center"/>
      <protection locked="0"/>
    </xf>
    <xf numFmtId="165" fontId="4" fillId="11" borderId="1" xfId="0" applyNumberFormat="1" applyFont="1" applyFill="1" applyBorder="1" applyAlignment="1" applyProtection="1">
      <alignment horizontal="center" vertical="center"/>
      <protection locked="0"/>
    </xf>
    <xf numFmtId="0" fontId="3" fillId="13" borderId="1" xfId="0" applyFont="1" applyFill="1" applyBorder="1" applyAlignment="1" applyProtection="1">
      <alignment horizontal="left" vertical="center"/>
      <protection locked="0"/>
    </xf>
    <xf numFmtId="164" fontId="3" fillId="15" borderId="1" xfId="0" applyNumberFormat="1" applyFont="1" applyFill="1" applyBorder="1" applyAlignment="1" applyProtection="1">
      <alignment horizontal="center" vertical="center"/>
      <protection locked="0"/>
    </xf>
    <xf numFmtId="165" fontId="4" fillId="15" borderId="1" xfId="0" applyNumberFormat="1" applyFont="1" applyFill="1" applyBorder="1" applyAlignment="1" applyProtection="1">
      <alignment horizontal="center" vertical="center"/>
      <protection locked="0"/>
    </xf>
    <xf numFmtId="0" fontId="3" fillId="15" borderId="1" xfId="0" applyFont="1" applyFill="1" applyBorder="1" applyAlignment="1" applyProtection="1">
      <alignment horizontal="left" vertical="center"/>
      <protection locked="0"/>
    </xf>
    <xf numFmtId="165" fontId="4" fillId="13" borderId="1" xfId="0" applyNumberFormat="1" applyFont="1" applyFill="1" applyBorder="1" applyAlignment="1" applyProtection="1">
      <alignment horizontal="center" vertical="center"/>
      <protection locked="0"/>
    </xf>
    <xf numFmtId="167" fontId="17" fillId="12" borderId="1" xfId="0" applyNumberFormat="1" applyFont="1" applyFill="1" applyBorder="1" applyAlignment="1" applyProtection="1">
      <alignment horizontal="center" vertical="center"/>
      <protection locked="0"/>
    </xf>
    <xf numFmtId="167" fontId="40" fillId="30" borderId="11" xfId="0" applyNumberFormat="1" applyFont="1" applyFill="1" applyBorder="1" applyAlignment="1">
      <alignment horizontal="center" vertical="center"/>
    </xf>
    <xf numFmtId="167" fontId="43" fillId="24" borderId="11" xfId="0" applyNumberFormat="1" applyFont="1" applyFill="1" applyBorder="1" applyAlignment="1">
      <alignment horizontal="center" vertical="center"/>
    </xf>
    <xf numFmtId="174" fontId="43" fillId="24" borderId="11" xfId="0" applyNumberFormat="1" applyFont="1" applyFill="1" applyBorder="1" applyAlignment="1">
      <alignment horizontal="center" vertical="center"/>
    </xf>
    <xf numFmtId="175" fontId="43" fillId="24" borderId="11" xfId="0" applyNumberFormat="1" applyFont="1" applyFill="1" applyBorder="1" applyAlignment="1">
      <alignment horizontal="center" vertical="center"/>
    </xf>
    <xf numFmtId="176" fontId="43" fillId="24" borderId="11" xfId="0" applyNumberFormat="1" applyFont="1" applyFill="1" applyBorder="1" applyAlignment="1">
      <alignment horizontal="center" vertical="center"/>
    </xf>
    <xf numFmtId="174" fontId="44" fillId="24" borderId="11" xfId="0" applyNumberFormat="1" applyFont="1" applyFill="1" applyBorder="1" applyAlignment="1">
      <alignment horizontal="center" vertical="center"/>
    </xf>
    <xf numFmtId="0" fontId="17" fillId="30" borderId="11" xfId="0" applyFont="1" applyFill="1" applyBorder="1" applyAlignment="1">
      <alignment horizontal="left" vertical="center" wrapText="1"/>
    </xf>
    <xf numFmtId="167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8" fillId="2" borderId="2" xfId="0" applyFont="1" applyFill="1" applyBorder="1" applyAlignment="1">
      <alignment horizontal="center" vertical="center"/>
    </xf>
    <xf numFmtId="0" fontId="0" fillId="0" borderId="0" xfId="0"/>
    <xf numFmtId="180" fontId="11" fillId="15" borderId="1" xfId="0" applyNumberFormat="1" applyFont="1" applyFill="1" applyBorder="1" applyAlignment="1">
      <alignment horizontal="center" vertical="center"/>
    </xf>
    <xf numFmtId="0" fontId="4" fillId="11" borderId="1" xfId="0" applyFont="1" applyFill="1" applyBorder="1" applyAlignment="1">
      <alignment horizontal="left" vertical="center" wrapText="1"/>
    </xf>
    <xf numFmtId="0" fontId="33" fillId="27" borderId="11" xfId="0" applyFont="1" applyFill="1" applyBorder="1" applyAlignment="1">
      <alignment horizontal="left" vertical="center" wrapText="1"/>
    </xf>
    <xf numFmtId="0" fontId="0" fillId="0" borderId="13" xfId="0" applyBorder="1"/>
    <xf numFmtId="0" fontId="0" fillId="0" borderId="14" xfId="0" applyBorder="1"/>
    <xf numFmtId="1" fontId="11" fillId="15" borderId="1" xfId="0" applyNumberFormat="1" applyFont="1" applyFill="1" applyBorder="1" applyAlignment="1">
      <alignment horizontal="center" vertical="center"/>
    </xf>
    <xf numFmtId="168" fontId="11" fillId="15" borderId="1" xfId="0" applyNumberFormat="1" applyFont="1" applyFill="1" applyBorder="1" applyAlignment="1">
      <alignment horizontal="center" vertical="center"/>
    </xf>
    <xf numFmtId="0" fontId="10" fillId="12" borderId="1" xfId="0" applyFont="1" applyFill="1" applyBorder="1" applyAlignment="1">
      <alignment horizontal="left" vertical="center" wrapText="1"/>
    </xf>
    <xf numFmtId="167" fontId="11" fillId="15" borderId="1" xfId="0" applyNumberFormat="1" applyFont="1" applyFill="1" applyBorder="1" applyAlignment="1">
      <alignment horizontal="center" vertical="center"/>
    </xf>
    <xf numFmtId="0" fontId="9" fillId="16" borderId="1" xfId="0" applyFont="1" applyFill="1" applyBorder="1" applyAlignment="1">
      <alignment horizontal="center" vertical="center"/>
    </xf>
    <xf numFmtId="0" fontId="10" fillId="13" borderId="1" xfId="0" applyFont="1" applyFill="1" applyBorder="1" applyAlignment="1">
      <alignment horizontal="left" vertical="center" wrapText="1"/>
    </xf>
    <xf numFmtId="0" fontId="3" fillId="13" borderId="1" xfId="0" applyFont="1" applyFill="1" applyBorder="1" applyAlignment="1">
      <alignment horizontal="center" vertical="center"/>
    </xf>
    <xf numFmtId="0" fontId="9" fillId="18" borderId="1" xfId="0" applyFont="1" applyFill="1" applyBorder="1" applyAlignment="1">
      <alignment horizontal="center" vertical="center"/>
    </xf>
    <xf numFmtId="2" fontId="11" fillId="15" borderId="1" xfId="0" applyNumberFormat="1" applyFont="1" applyFill="1" applyBorder="1" applyAlignment="1">
      <alignment horizontal="center" vertical="center"/>
    </xf>
    <xf numFmtId="0" fontId="40" fillId="28" borderId="11" xfId="0" applyFont="1" applyFill="1" applyBorder="1" applyAlignment="1">
      <alignment horizontal="center" vertical="center" wrapText="1"/>
    </xf>
    <xf numFmtId="166" fontId="11" fillId="15" borderId="1" xfId="0" applyNumberFormat="1" applyFont="1" applyFill="1" applyBorder="1" applyAlignment="1">
      <alignment horizontal="center" vertical="center"/>
    </xf>
    <xf numFmtId="0" fontId="32" fillId="26" borderId="11" xfId="0" applyFont="1" applyFill="1" applyBorder="1" applyAlignment="1">
      <alignment horizontal="center" vertical="center" wrapText="1"/>
    </xf>
    <xf numFmtId="0" fontId="33" fillId="24" borderId="1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/>
    </xf>
    <xf numFmtId="0" fontId="14" fillId="21" borderId="11" xfId="0" applyFont="1" applyFill="1" applyBorder="1" applyAlignment="1">
      <alignment horizontal="center" vertical="center" wrapText="1"/>
    </xf>
    <xf numFmtId="0" fontId="12" fillId="13" borderId="1" xfId="0" applyFont="1" applyFill="1" applyBorder="1" applyAlignment="1">
      <alignment horizontal="left" vertical="center"/>
    </xf>
    <xf numFmtId="0" fontId="10" fillId="15" borderId="1" xfId="0" applyFont="1" applyFill="1" applyBorder="1" applyAlignment="1">
      <alignment horizontal="left" vertical="center" wrapText="1"/>
    </xf>
    <xf numFmtId="0" fontId="4" fillId="15" borderId="1" xfId="0" applyFont="1" applyFill="1" applyBorder="1" applyAlignment="1">
      <alignment horizontal="left" vertical="center" wrapText="1"/>
    </xf>
    <xf numFmtId="10" fontId="11" fillId="15" borderId="1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69" fontId="11" fillId="15" borderId="1" xfId="0" applyNumberFormat="1" applyFont="1" applyFill="1" applyBorder="1" applyAlignment="1">
      <alignment horizontal="center" vertical="center"/>
    </xf>
    <xf numFmtId="0" fontId="9" fillId="9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10" fillId="17" borderId="15" xfId="0" applyFont="1" applyFill="1" applyBorder="1" applyAlignment="1">
      <alignment horizontal="center" vertical="center"/>
    </xf>
    <xf numFmtId="0" fontId="10" fillId="17" borderId="12" xfId="0" applyFont="1" applyFill="1" applyBorder="1" applyAlignment="1">
      <alignment horizontal="center" vertical="center"/>
    </xf>
    <xf numFmtId="0" fontId="33" fillId="25" borderId="11" xfId="0" applyFont="1" applyFill="1" applyBorder="1" applyAlignment="1">
      <alignment horizontal="left" vertical="center" wrapText="1"/>
    </xf>
    <xf numFmtId="0" fontId="33" fillId="23" borderId="11" xfId="0" applyFont="1" applyFill="1" applyBorder="1" applyAlignment="1">
      <alignment horizontal="left" vertical="center" wrapText="1"/>
    </xf>
    <xf numFmtId="0" fontId="32" fillId="22" borderId="11" xfId="0" applyFont="1" applyFill="1" applyBorder="1" applyAlignment="1">
      <alignment horizontal="center" vertical="center" wrapText="1"/>
    </xf>
    <xf numFmtId="0" fontId="10" fillId="17" borderId="2" xfId="0" applyFont="1" applyFill="1" applyBorder="1" applyAlignment="1">
      <alignment horizontal="center" vertical="center"/>
    </xf>
    <xf numFmtId="0" fontId="10" fillId="17" borderId="7" xfId="0" applyFont="1" applyFill="1" applyBorder="1" applyAlignment="1">
      <alignment horizontal="center" vertical="center"/>
    </xf>
    <xf numFmtId="0" fontId="16" fillId="6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43" fillId="28" borderId="11" xfId="0" applyFont="1" applyFill="1" applyBorder="1" applyAlignment="1">
      <alignment horizontal="center" vertical="center" wrapText="1"/>
    </xf>
    <xf numFmtId="0" fontId="9" fillId="7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9" fillId="16" borderId="1" xfId="0" applyFont="1" applyFill="1" applyBorder="1" applyAlignment="1">
      <alignment horizontal="left" vertical="center"/>
    </xf>
    <xf numFmtId="0" fontId="32" fillId="26" borderId="11" xfId="0" applyFont="1" applyFill="1" applyBorder="1" applyAlignment="1">
      <alignment horizontal="left" vertical="center" wrapText="1"/>
    </xf>
    <xf numFmtId="0" fontId="32" fillId="21" borderId="11" xfId="0" applyFont="1" applyFill="1" applyBorder="1" applyAlignment="1">
      <alignment horizontal="left" vertical="center" wrapText="1"/>
    </xf>
    <xf numFmtId="0" fontId="41" fillId="36" borderId="11" xfId="0" applyFont="1" applyFill="1" applyBorder="1" applyAlignment="1">
      <alignment horizontal="left" vertical="center" wrapText="1"/>
    </xf>
    <xf numFmtId="0" fontId="41" fillId="31" borderId="11" xfId="0" applyFont="1" applyFill="1" applyBorder="1" applyAlignment="1">
      <alignment horizontal="left" vertical="center" wrapText="1"/>
    </xf>
    <xf numFmtId="0" fontId="31" fillId="21" borderId="11" xfId="0" applyFont="1" applyFill="1" applyBorder="1" applyAlignment="1">
      <alignment horizontal="center" vertical="center" wrapText="1"/>
    </xf>
    <xf numFmtId="0" fontId="32" fillId="32" borderId="11" xfId="0" applyFont="1" applyFill="1" applyBorder="1" applyAlignment="1">
      <alignment horizontal="left" vertical="center" wrapText="1"/>
    </xf>
    <xf numFmtId="0" fontId="41" fillId="34" borderId="1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left" vertical="center"/>
    </xf>
    <xf numFmtId="0" fontId="32" fillId="29" borderId="11" xfId="0" applyFont="1" applyFill="1" applyBorder="1" applyAlignment="1">
      <alignment horizontal="left" vertical="center" wrapText="1"/>
    </xf>
    <xf numFmtId="0" fontId="32" fillId="22" borderId="11" xfId="0" applyFont="1" applyFill="1" applyBorder="1" applyAlignment="1">
      <alignment horizontal="left" vertical="center" wrapText="1"/>
    </xf>
    <xf numFmtId="0" fontId="41" fillId="23" borderId="11" xfId="0" applyFont="1" applyFill="1" applyBorder="1" applyAlignment="1">
      <alignment horizontal="left" vertical="center" wrapText="1"/>
    </xf>
    <xf numFmtId="0" fontId="32" fillId="33" borderId="11" xfId="0" applyFont="1" applyFill="1" applyBorder="1" applyAlignment="1">
      <alignment horizontal="left" vertical="center" wrapText="1"/>
    </xf>
    <xf numFmtId="0" fontId="41" fillId="27" borderId="11" xfId="0" applyFont="1" applyFill="1" applyBorder="1" applyAlignment="1">
      <alignment horizontal="left" vertical="center" wrapText="1"/>
    </xf>
    <xf numFmtId="0" fontId="32" fillId="29" borderId="11" xfId="0" applyFont="1" applyFill="1" applyBorder="1" applyAlignment="1">
      <alignment horizontal="center" vertical="center" wrapText="1"/>
    </xf>
    <xf numFmtId="0" fontId="41" fillId="25" borderId="11" xfId="0" applyFont="1" applyFill="1" applyBorder="1" applyAlignment="1">
      <alignment horizontal="left" vertical="center" wrapText="1"/>
    </xf>
    <xf numFmtId="0" fontId="20" fillId="20" borderId="1" xfId="0" applyFont="1" applyFill="1" applyBorder="1" applyAlignment="1">
      <alignment horizontal="center" vertical="center"/>
    </xf>
    <xf numFmtId="0" fontId="32" fillId="35" borderId="11" xfId="0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center" vertical="center"/>
    </xf>
    <xf numFmtId="0" fontId="5" fillId="11" borderId="16" xfId="0" applyFont="1" applyFill="1" applyBorder="1" applyAlignment="1">
      <alignment horizontal="center" vertical="center" wrapText="1"/>
    </xf>
    <xf numFmtId="0" fontId="5" fillId="11" borderId="13" xfId="0" applyFont="1" applyFill="1" applyBorder="1" applyAlignment="1">
      <alignment horizontal="center" vertical="center" wrapText="1"/>
    </xf>
    <xf numFmtId="0" fontId="5" fillId="11" borderId="14" xfId="0" applyFont="1" applyFill="1" applyBorder="1" applyAlignment="1">
      <alignment horizontal="center" vertical="center" wrapText="1"/>
    </xf>
    <xf numFmtId="0" fontId="5" fillId="13" borderId="16" xfId="0" applyFont="1" applyFill="1" applyBorder="1" applyAlignment="1">
      <alignment horizontal="center" vertical="center" wrapText="1"/>
    </xf>
    <xf numFmtId="0" fontId="5" fillId="13" borderId="13" xfId="0" applyFont="1" applyFill="1" applyBorder="1" applyAlignment="1">
      <alignment horizontal="center" vertical="center" wrapText="1"/>
    </xf>
    <xf numFmtId="0" fontId="5" fillId="13" borderId="14" xfId="0" applyFont="1" applyFill="1" applyBorder="1" applyAlignment="1">
      <alignment horizontal="center" vertical="center" wrapText="1"/>
    </xf>
    <xf numFmtId="0" fontId="17" fillId="13" borderId="1" xfId="0" applyFont="1" applyFill="1" applyBorder="1" applyAlignment="1">
      <alignment horizontal="left" vertical="center"/>
    </xf>
    <xf numFmtId="0" fontId="3" fillId="15" borderId="1" xfId="0" applyFont="1" applyFill="1" applyBorder="1" applyAlignment="1" applyProtection="1">
      <alignment horizontal="center" vertical="center"/>
      <protection locked="0"/>
    </xf>
    <xf numFmtId="0" fontId="0" fillId="0" borderId="3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Protection="1">
      <protection locked="0"/>
    </xf>
    <xf numFmtId="0" fontId="23" fillId="20" borderId="1" xfId="0" applyFont="1" applyFill="1" applyBorder="1" applyAlignment="1" applyProtection="1">
      <alignment horizontal="center" vertic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26" fillId="6" borderId="1" xfId="0" applyFont="1" applyFill="1" applyBorder="1" applyAlignment="1">
      <alignment horizontal="center" vertical="center"/>
    </xf>
    <xf numFmtId="0" fontId="26" fillId="7" borderId="1" xfId="0" applyFont="1" applyFill="1" applyBorder="1" applyAlignment="1">
      <alignment horizontal="center" vertical="center"/>
    </xf>
    <xf numFmtId="0" fontId="3" fillId="17" borderId="1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26" fillId="3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26" fillId="5" borderId="1" xfId="0" applyFont="1" applyFill="1" applyBorder="1" applyAlignment="1">
      <alignment horizontal="center" vertical="center"/>
    </xf>
    <xf numFmtId="0" fontId="10" fillId="17" borderId="1" xfId="0" applyFont="1" applyFill="1" applyBorder="1" applyAlignment="1">
      <alignment horizontal="left" vertical="center" wrapText="1"/>
    </xf>
    <xf numFmtId="0" fontId="10" fillId="11" borderId="1" xfId="0" applyFont="1" applyFill="1" applyBorder="1" applyAlignment="1">
      <alignment horizontal="left" vertical="center" wrapText="1"/>
    </xf>
    <xf numFmtId="0" fontId="11" fillId="20" borderId="1" xfId="0" applyFont="1" applyFill="1" applyBorder="1" applyAlignment="1">
      <alignment horizontal="center" vertical="center"/>
    </xf>
    <xf numFmtId="0" fontId="11" fillId="11" borderId="1" xfId="0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/>
    </xf>
    <xf numFmtId="0" fontId="10" fillId="20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5">
    <dxf>
      <font>
        <b/>
        <sz val="9"/>
        <color rgb="FF7F6000"/>
        <name val="Calibri"/>
      </font>
      <fill>
        <patternFill patternType="solid">
          <fgColor rgb="FFFFD966"/>
        </patternFill>
      </fill>
    </dxf>
    <dxf>
      <font>
        <b/>
        <sz val="9"/>
        <color rgb="FF375623"/>
        <name val="Calibri"/>
      </font>
      <fill>
        <patternFill patternType="solid">
          <fgColor rgb="FFE2EFDA"/>
        </patternFill>
      </fill>
    </dxf>
    <dxf>
      <font>
        <b/>
        <sz val="9"/>
        <color rgb="FFC00000"/>
        <name val="Calibri"/>
      </font>
      <fill>
        <patternFill patternType="solid">
          <fgColor rgb="FFFCE4D6"/>
        </patternFill>
      </fill>
    </dxf>
    <dxf>
      <font>
        <b/>
        <sz val="9"/>
        <color rgb="FF9C0006"/>
        <name val="Calibri"/>
      </font>
      <fill>
        <patternFill patternType="solid">
          <fgColor rgb="FFFFC7CE"/>
        </patternFill>
      </fill>
    </dxf>
    <dxf>
      <font>
        <b/>
        <sz val="9"/>
        <color rgb="FF276221"/>
        <name val="Calibri"/>
      </font>
      <fill>
        <patternFill patternType="solid">
          <fgColor rgb="FFC6EF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vi-VN"/>
              <a:t>Equity Curve — Tăng trưởng vốn ($)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1.4925213675213675E-2"/>
          <c:y val="4.0960451977401127E-2"/>
          <c:w val="0.90066591880341884"/>
          <c:h val="0.91836317248053501"/>
        </c:manualLayout>
      </c:layout>
      <c:lineChart>
        <c:grouping val="standard"/>
        <c:varyColors val="1"/>
        <c:ser>
          <c:idx val="0"/>
          <c:order val="0"/>
          <c:tx>
            <c:strRef>
              <c:f>'📈 Biểu Đồ'!$G$4</c:f>
              <c:strCache>
                <c:ptCount val="1"/>
                <c:pt idx="0">
                  <c:v>Số dư ($)</c:v>
                </c:pt>
              </c:strCache>
            </c:strRef>
          </c:tx>
          <c:spPr>
            <a:ln w="25000">
              <a:solidFill>
                <a:srgbClr val="2E75B6"/>
              </a:solidFill>
              <a:prstDash val="solid"/>
            </a:ln>
          </c:spPr>
          <c:marker>
            <c:symbol val="none"/>
          </c:marker>
          <c:val>
            <c:numRef>
              <c:f>'📈 Biểu Đồ'!$G$5:$G$204</c:f>
              <c:numCache>
                <c:formatCode>"$"#,##0.00</c:formatCode>
                <c:ptCount val="200"/>
                <c:pt idx="0">
                  <c:v>3000</c:v>
                </c:pt>
                <c:pt idx="1">
                  <c:v>2500</c:v>
                </c:pt>
                <c:pt idx="2">
                  <c:v>4500</c:v>
                </c:pt>
                <c:pt idx="3">
                  <c:v>4000</c:v>
                </c:pt>
                <c:pt idx="4">
                  <c:v>4000</c:v>
                </c:pt>
                <c:pt idx="5">
                  <c:v>4000</c:v>
                </c:pt>
                <c:pt idx="6">
                  <c:v>4000</c:v>
                </c:pt>
                <c:pt idx="7">
                  <c:v>4000</c:v>
                </c:pt>
                <c:pt idx="8">
                  <c:v>4000</c:v>
                </c:pt>
                <c:pt idx="9">
                  <c:v>4000</c:v>
                </c:pt>
                <c:pt idx="10">
                  <c:v>4000</c:v>
                </c:pt>
                <c:pt idx="11">
                  <c:v>4000</c:v>
                </c:pt>
                <c:pt idx="12">
                  <c:v>4000</c:v>
                </c:pt>
                <c:pt idx="13">
                  <c:v>4000</c:v>
                </c:pt>
                <c:pt idx="14">
                  <c:v>4000</c:v>
                </c:pt>
                <c:pt idx="15">
                  <c:v>4000</c:v>
                </c:pt>
                <c:pt idx="16">
                  <c:v>4000</c:v>
                </c:pt>
                <c:pt idx="17">
                  <c:v>4000</c:v>
                </c:pt>
                <c:pt idx="18">
                  <c:v>4000</c:v>
                </c:pt>
                <c:pt idx="19">
                  <c:v>4000</c:v>
                </c:pt>
                <c:pt idx="20">
                  <c:v>4000</c:v>
                </c:pt>
                <c:pt idx="21">
                  <c:v>4000</c:v>
                </c:pt>
                <c:pt idx="22">
                  <c:v>4000</c:v>
                </c:pt>
                <c:pt idx="23">
                  <c:v>4000</c:v>
                </c:pt>
                <c:pt idx="24">
                  <c:v>4000</c:v>
                </c:pt>
                <c:pt idx="25">
                  <c:v>4000</c:v>
                </c:pt>
                <c:pt idx="26">
                  <c:v>4000</c:v>
                </c:pt>
                <c:pt idx="27">
                  <c:v>4000</c:v>
                </c:pt>
                <c:pt idx="28">
                  <c:v>4000</c:v>
                </c:pt>
                <c:pt idx="29">
                  <c:v>4000</c:v>
                </c:pt>
                <c:pt idx="30">
                  <c:v>4000</c:v>
                </c:pt>
                <c:pt idx="31">
                  <c:v>4000</c:v>
                </c:pt>
                <c:pt idx="32">
                  <c:v>4000</c:v>
                </c:pt>
                <c:pt idx="33">
                  <c:v>4000</c:v>
                </c:pt>
                <c:pt idx="34">
                  <c:v>4000</c:v>
                </c:pt>
                <c:pt idx="35">
                  <c:v>4000</c:v>
                </c:pt>
                <c:pt idx="36">
                  <c:v>4000</c:v>
                </c:pt>
                <c:pt idx="37">
                  <c:v>4000</c:v>
                </c:pt>
                <c:pt idx="38">
                  <c:v>4000</c:v>
                </c:pt>
                <c:pt idx="39">
                  <c:v>4000</c:v>
                </c:pt>
                <c:pt idx="40">
                  <c:v>4000</c:v>
                </c:pt>
                <c:pt idx="41">
                  <c:v>4000</c:v>
                </c:pt>
                <c:pt idx="42">
                  <c:v>4000</c:v>
                </c:pt>
                <c:pt idx="43">
                  <c:v>4000</c:v>
                </c:pt>
                <c:pt idx="44">
                  <c:v>4000</c:v>
                </c:pt>
                <c:pt idx="45">
                  <c:v>4000</c:v>
                </c:pt>
                <c:pt idx="46">
                  <c:v>4000</c:v>
                </c:pt>
                <c:pt idx="47">
                  <c:v>4000</c:v>
                </c:pt>
                <c:pt idx="48">
                  <c:v>4000</c:v>
                </c:pt>
                <c:pt idx="49">
                  <c:v>4000</c:v>
                </c:pt>
                <c:pt idx="50">
                  <c:v>4000</c:v>
                </c:pt>
                <c:pt idx="51">
                  <c:v>4000</c:v>
                </c:pt>
                <c:pt idx="52">
                  <c:v>4000</c:v>
                </c:pt>
                <c:pt idx="53">
                  <c:v>4000</c:v>
                </c:pt>
                <c:pt idx="54">
                  <c:v>4000</c:v>
                </c:pt>
                <c:pt idx="55">
                  <c:v>4000</c:v>
                </c:pt>
                <c:pt idx="56">
                  <c:v>4000</c:v>
                </c:pt>
                <c:pt idx="57">
                  <c:v>4000</c:v>
                </c:pt>
                <c:pt idx="58">
                  <c:v>4000</c:v>
                </c:pt>
                <c:pt idx="59">
                  <c:v>4000</c:v>
                </c:pt>
                <c:pt idx="60">
                  <c:v>4000</c:v>
                </c:pt>
                <c:pt idx="61">
                  <c:v>4000</c:v>
                </c:pt>
                <c:pt idx="62">
                  <c:v>4000</c:v>
                </c:pt>
                <c:pt idx="63">
                  <c:v>4000</c:v>
                </c:pt>
                <c:pt idx="64">
                  <c:v>4000</c:v>
                </c:pt>
                <c:pt idx="65">
                  <c:v>4000</c:v>
                </c:pt>
                <c:pt idx="66">
                  <c:v>4000</c:v>
                </c:pt>
                <c:pt idx="67">
                  <c:v>4000</c:v>
                </c:pt>
                <c:pt idx="68">
                  <c:v>4000</c:v>
                </c:pt>
                <c:pt idx="69">
                  <c:v>4000</c:v>
                </c:pt>
                <c:pt idx="70">
                  <c:v>4000</c:v>
                </c:pt>
                <c:pt idx="71">
                  <c:v>4000</c:v>
                </c:pt>
                <c:pt idx="72">
                  <c:v>4000</c:v>
                </c:pt>
                <c:pt idx="73">
                  <c:v>4000</c:v>
                </c:pt>
                <c:pt idx="74">
                  <c:v>4000</c:v>
                </c:pt>
                <c:pt idx="75">
                  <c:v>4000</c:v>
                </c:pt>
                <c:pt idx="76">
                  <c:v>4000</c:v>
                </c:pt>
                <c:pt idx="77">
                  <c:v>4000</c:v>
                </c:pt>
                <c:pt idx="78">
                  <c:v>4000</c:v>
                </c:pt>
                <c:pt idx="79">
                  <c:v>4000</c:v>
                </c:pt>
                <c:pt idx="80">
                  <c:v>4000</c:v>
                </c:pt>
                <c:pt idx="81">
                  <c:v>4000</c:v>
                </c:pt>
                <c:pt idx="82">
                  <c:v>4000</c:v>
                </c:pt>
                <c:pt idx="83">
                  <c:v>4000</c:v>
                </c:pt>
                <c:pt idx="84">
                  <c:v>4000</c:v>
                </c:pt>
                <c:pt idx="85">
                  <c:v>4000</c:v>
                </c:pt>
                <c:pt idx="86">
                  <c:v>4000</c:v>
                </c:pt>
                <c:pt idx="87">
                  <c:v>4000</c:v>
                </c:pt>
                <c:pt idx="88">
                  <c:v>4000</c:v>
                </c:pt>
                <c:pt idx="89">
                  <c:v>4000</c:v>
                </c:pt>
                <c:pt idx="90">
                  <c:v>4000</c:v>
                </c:pt>
                <c:pt idx="91">
                  <c:v>4000</c:v>
                </c:pt>
                <c:pt idx="92">
                  <c:v>4000</c:v>
                </c:pt>
                <c:pt idx="93">
                  <c:v>4000</c:v>
                </c:pt>
                <c:pt idx="94">
                  <c:v>4000</c:v>
                </c:pt>
                <c:pt idx="95">
                  <c:v>4000</c:v>
                </c:pt>
                <c:pt idx="96">
                  <c:v>4000</c:v>
                </c:pt>
                <c:pt idx="97">
                  <c:v>4000</c:v>
                </c:pt>
                <c:pt idx="98">
                  <c:v>4000</c:v>
                </c:pt>
                <c:pt idx="99">
                  <c:v>4000</c:v>
                </c:pt>
                <c:pt idx="100">
                  <c:v>4000</c:v>
                </c:pt>
                <c:pt idx="101">
                  <c:v>4000</c:v>
                </c:pt>
                <c:pt idx="102">
                  <c:v>4000</c:v>
                </c:pt>
                <c:pt idx="103">
                  <c:v>4000</c:v>
                </c:pt>
                <c:pt idx="104">
                  <c:v>4000</c:v>
                </c:pt>
                <c:pt idx="105">
                  <c:v>4000</c:v>
                </c:pt>
                <c:pt idx="106">
                  <c:v>4000</c:v>
                </c:pt>
                <c:pt idx="107">
                  <c:v>4000</c:v>
                </c:pt>
                <c:pt idx="108">
                  <c:v>4000</c:v>
                </c:pt>
                <c:pt idx="109">
                  <c:v>4000</c:v>
                </c:pt>
                <c:pt idx="110">
                  <c:v>4000</c:v>
                </c:pt>
                <c:pt idx="111">
                  <c:v>4000</c:v>
                </c:pt>
                <c:pt idx="112">
                  <c:v>4000</c:v>
                </c:pt>
                <c:pt idx="113">
                  <c:v>4000</c:v>
                </c:pt>
                <c:pt idx="114">
                  <c:v>4000</c:v>
                </c:pt>
                <c:pt idx="115">
                  <c:v>4000</c:v>
                </c:pt>
                <c:pt idx="116">
                  <c:v>4000</c:v>
                </c:pt>
                <c:pt idx="117">
                  <c:v>4000</c:v>
                </c:pt>
                <c:pt idx="118">
                  <c:v>4000</c:v>
                </c:pt>
                <c:pt idx="119">
                  <c:v>4000</c:v>
                </c:pt>
                <c:pt idx="120">
                  <c:v>4000</c:v>
                </c:pt>
                <c:pt idx="121">
                  <c:v>4000</c:v>
                </c:pt>
                <c:pt idx="122">
                  <c:v>4000</c:v>
                </c:pt>
                <c:pt idx="123">
                  <c:v>4000</c:v>
                </c:pt>
                <c:pt idx="124">
                  <c:v>4000</c:v>
                </c:pt>
                <c:pt idx="125">
                  <c:v>4000</c:v>
                </c:pt>
                <c:pt idx="126">
                  <c:v>4000</c:v>
                </c:pt>
                <c:pt idx="127">
                  <c:v>4000</c:v>
                </c:pt>
                <c:pt idx="128">
                  <c:v>4000</c:v>
                </c:pt>
                <c:pt idx="129">
                  <c:v>4000</c:v>
                </c:pt>
                <c:pt idx="130">
                  <c:v>4000</c:v>
                </c:pt>
                <c:pt idx="131">
                  <c:v>4000</c:v>
                </c:pt>
                <c:pt idx="132">
                  <c:v>4000</c:v>
                </c:pt>
                <c:pt idx="133">
                  <c:v>4000</c:v>
                </c:pt>
                <c:pt idx="134">
                  <c:v>4000</c:v>
                </c:pt>
                <c:pt idx="135">
                  <c:v>4000</c:v>
                </c:pt>
                <c:pt idx="136">
                  <c:v>4000</c:v>
                </c:pt>
                <c:pt idx="137">
                  <c:v>4000</c:v>
                </c:pt>
                <c:pt idx="138">
                  <c:v>4000</c:v>
                </c:pt>
                <c:pt idx="139">
                  <c:v>4000</c:v>
                </c:pt>
                <c:pt idx="140">
                  <c:v>4000</c:v>
                </c:pt>
                <c:pt idx="141">
                  <c:v>4000</c:v>
                </c:pt>
                <c:pt idx="142">
                  <c:v>4000</c:v>
                </c:pt>
                <c:pt idx="143">
                  <c:v>4000</c:v>
                </c:pt>
                <c:pt idx="144">
                  <c:v>4000</c:v>
                </c:pt>
                <c:pt idx="145">
                  <c:v>4000</c:v>
                </c:pt>
                <c:pt idx="146">
                  <c:v>4000</c:v>
                </c:pt>
                <c:pt idx="147">
                  <c:v>4000</c:v>
                </c:pt>
                <c:pt idx="148">
                  <c:v>4000</c:v>
                </c:pt>
                <c:pt idx="149">
                  <c:v>4000</c:v>
                </c:pt>
                <c:pt idx="150">
                  <c:v>4000</c:v>
                </c:pt>
                <c:pt idx="151">
                  <c:v>4000</c:v>
                </c:pt>
                <c:pt idx="152">
                  <c:v>4000</c:v>
                </c:pt>
                <c:pt idx="153">
                  <c:v>4000</c:v>
                </c:pt>
                <c:pt idx="154">
                  <c:v>4000</c:v>
                </c:pt>
                <c:pt idx="155">
                  <c:v>4000</c:v>
                </c:pt>
                <c:pt idx="156">
                  <c:v>4000</c:v>
                </c:pt>
                <c:pt idx="157">
                  <c:v>4000</c:v>
                </c:pt>
                <c:pt idx="158">
                  <c:v>4000</c:v>
                </c:pt>
                <c:pt idx="159">
                  <c:v>4000</c:v>
                </c:pt>
                <c:pt idx="160">
                  <c:v>4000</c:v>
                </c:pt>
                <c:pt idx="161">
                  <c:v>4000</c:v>
                </c:pt>
                <c:pt idx="162">
                  <c:v>4000</c:v>
                </c:pt>
                <c:pt idx="163">
                  <c:v>4000</c:v>
                </c:pt>
                <c:pt idx="164">
                  <c:v>4000</c:v>
                </c:pt>
                <c:pt idx="165">
                  <c:v>4000</c:v>
                </c:pt>
                <c:pt idx="166">
                  <c:v>4000</c:v>
                </c:pt>
                <c:pt idx="167">
                  <c:v>4000</c:v>
                </c:pt>
                <c:pt idx="168">
                  <c:v>4000</c:v>
                </c:pt>
                <c:pt idx="169">
                  <c:v>4000</c:v>
                </c:pt>
                <c:pt idx="170">
                  <c:v>4000</c:v>
                </c:pt>
                <c:pt idx="171">
                  <c:v>4000</c:v>
                </c:pt>
                <c:pt idx="172">
                  <c:v>4000</c:v>
                </c:pt>
                <c:pt idx="173">
                  <c:v>4000</c:v>
                </c:pt>
                <c:pt idx="174">
                  <c:v>4000</c:v>
                </c:pt>
                <c:pt idx="175">
                  <c:v>4000</c:v>
                </c:pt>
                <c:pt idx="176">
                  <c:v>4000</c:v>
                </c:pt>
                <c:pt idx="177">
                  <c:v>4000</c:v>
                </c:pt>
                <c:pt idx="178">
                  <c:v>4000</c:v>
                </c:pt>
                <c:pt idx="179">
                  <c:v>4000</c:v>
                </c:pt>
                <c:pt idx="180">
                  <c:v>4000</c:v>
                </c:pt>
                <c:pt idx="181">
                  <c:v>4000</c:v>
                </c:pt>
                <c:pt idx="182">
                  <c:v>4000</c:v>
                </c:pt>
                <c:pt idx="183">
                  <c:v>4000</c:v>
                </c:pt>
                <c:pt idx="184">
                  <c:v>4000</c:v>
                </c:pt>
                <c:pt idx="185">
                  <c:v>4000</c:v>
                </c:pt>
                <c:pt idx="186">
                  <c:v>4000</c:v>
                </c:pt>
                <c:pt idx="187">
                  <c:v>4000</c:v>
                </c:pt>
                <c:pt idx="188">
                  <c:v>4000</c:v>
                </c:pt>
                <c:pt idx="189">
                  <c:v>4000</c:v>
                </c:pt>
                <c:pt idx="190">
                  <c:v>4000</c:v>
                </c:pt>
                <c:pt idx="191">
                  <c:v>4000</c:v>
                </c:pt>
                <c:pt idx="192">
                  <c:v>4000</c:v>
                </c:pt>
                <c:pt idx="193">
                  <c:v>4000</c:v>
                </c:pt>
                <c:pt idx="194">
                  <c:v>4000</c:v>
                </c:pt>
                <c:pt idx="195">
                  <c:v>4000</c:v>
                </c:pt>
                <c:pt idx="196">
                  <c:v>4000</c:v>
                </c:pt>
                <c:pt idx="197">
                  <c:v>4000</c:v>
                </c:pt>
                <c:pt idx="198">
                  <c:v>4000</c:v>
                </c:pt>
                <c:pt idx="199">
                  <c:v>4000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BBC9-404A-85CC-6C2D09C7DC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"/>
        <c:axId val="100"/>
      </c:lineChart>
      <c:catAx>
        <c:axId val="10"/>
        <c:scaling>
          <c:orientation val="minMax"/>
        </c:scaling>
        <c:delete val="1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Số lệnh</a:t>
                </a:r>
              </a:p>
            </c:rich>
          </c:tx>
          <c:overlay val="1"/>
        </c:title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vi-VN"/>
                  <a:t>Số dư ($)</a:t>
                </a:r>
              </a:p>
            </c:rich>
          </c:tx>
          <c:overlay val="1"/>
        </c:title>
        <c:numFmt formatCode="&quot;$&quot;#,##0.00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  <c:txPr>
        <a:bodyPr/>
        <a:lstStyle/>
        <a:p>
          <a:pPr rtl="0">
            <a:defRPr/>
          </a:pPr>
          <a:endParaRPr lang="en-VN"/>
        </a:p>
      </c:txPr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en-US"/>
              <a:t>Drawdown từ đỉnh (%)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1.4925213675213675E-2"/>
          <c:y val="4.2134831460674156E-2"/>
          <c:w val="0.90066591880341884"/>
          <c:h val="0.94241573033707871"/>
        </c:manualLayout>
      </c:layout>
      <c:lineChart>
        <c:grouping val="standard"/>
        <c:varyColors val="1"/>
        <c:ser>
          <c:idx val="0"/>
          <c:order val="0"/>
          <c:tx>
            <c:strRef>
              <c:f>'📈 Biểu Đồ'!$H$4</c:f>
              <c:strCache>
                <c:ptCount val="1"/>
                <c:pt idx="0">
                  <c:v>Drawdown (%)</c:v>
                </c:pt>
              </c:strCache>
            </c:strRef>
          </c:tx>
          <c:spPr>
            <a:ln w="20000">
              <a:solidFill>
                <a:srgbClr val="C00000"/>
              </a:solidFill>
              <a:prstDash val="solid"/>
            </a:ln>
          </c:spPr>
          <c:marker>
            <c:symbol val="none"/>
          </c:marker>
          <c:val>
            <c:numRef>
              <c:f>'📈 Biểu Đồ'!$H$5:$H$204</c:f>
              <c:numCache>
                <c:formatCode>0.00%</c:formatCode>
                <c:ptCount val="200"/>
                <c:pt idx="0">
                  <c:v>0</c:v>
                </c:pt>
                <c:pt idx="1">
                  <c:v>-0.16666666666666666</c:v>
                </c:pt>
                <c:pt idx="2">
                  <c:v>0</c:v>
                </c:pt>
                <c:pt idx="3">
                  <c:v>-0.1111111111111111</c:v>
                </c:pt>
                <c:pt idx="4">
                  <c:v>-0.1111111111111111</c:v>
                </c:pt>
                <c:pt idx="5">
                  <c:v>-0.1111111111111111</c:v>
                </c:pt>
                <c:pt idx="6">
                  <c:v>-0.1111111111111111</c:v>
                </c:pt>
                <c:pt idx="7">
                  <c:v>-0.1111111111111111</c:v>
                </c:pt>
                <c:pt idx="8">
                  <c:v>-0.1111111111111111</c:v>
                </c:pt>
                <c:pt idx="9">
                  <c:v>-0.1111111111111111</c:v>
                </c:pt>
                <c:pt idx="10">
                  <c:v>-0.1111111111111111</c:v>
                </c:pt>
                <c:pt idx="11">
                  <c:v>-0.1111111111111111</c:v>
                </c:pt>
                <c:pt idx="12">
                  <c:v>-0.1111111111111111</c:v>
                </c:pt>
                <c:pt idx="13">
                  <c:v>-0.1111111111111111</c:v>
                </c:pt>
                <c:pt idx="14">
                  <c:v>-0.1111111111111111</c:v>
                </c:pt>
                <c:pt idx="15">
                  <c:v>-0.1111111111111111</c:v>
                </c:pt>
                <c:pt idx="16">
                  <c:v>-0.1111111111111111</c:v>
                </c:pt>
                <c:pt idx="17">
                  <c:v>-0.1111111111111111</c:v>
                </c:pt>
                <c:pt idx="18">
                  <c:v>-0.1111111111111111</c:v>
                </c:pt>
                <c:pt idx="19">
                  <c:v>-0.1111111111111111</c:v>
                </c:pt>
                <c:pt idx="20">
                  <c:v>-0.1111111111111111</c:v>
                </c:pt>
                <c:pt idx="21">
                  <c:v>-0.1111111111111111</c:v>
                </c:pt>
                <c:pt idx="22">
                  <c:v>-0.1111111111111111</c:v>
                </c:pt>
                <c:pt idx="23">
                  <c:v>-0.1111111111111111</c:v>
                </c:pt>
                <c:pt idx="24">
                  <c:v>-0.1111111111111111</c:v>
                </c:pt>
                <c:pt idx="25">
                  <c:v>-0.1111111111111111</c:v>
                </c:pt>
                <c:pt idx="26">
                  <c:v>-0.1111111111111111</c:v>
                </c:pt>
                <c:pt idx="27">
                  <c:v>-0.1111111111111111</c:v>
                </c:pt>
                <c:pt idx="28">
                  <c:v>-0.1111111111111111</c:v>
                </c:pt>
                <c:pt idx="29">
                  <c:v>-0.1111111111111111</c:v>
                </c:pt>
                <c:pt idx="30">
                  <c:v>-0.1111111111111111</c:v>
                </c:pt>
                <c:pt idx="31">
                  <c:v>-0.1111111111111111</c:v>
                </c:pt>
                <c:pt idx="32">
                  <c:v>-0.1111111111111111</c:v>
                </c:pt>
                <c:pt idx="33">
                  <c:v>-0.1111111111111111</c:v>
                </c:pt>
                <c:pt idx="34">
                  <c:v>-0.1111111111111111</c:v>
                </c:pt>
                <c:pt idx="35">
                  <c:v>-0.1111111111111111</c:v>
                </c:pt>
                <c:pt idx="36">
                  <c:v>-0.1111111111111111</c:v>
                </c:pt>
                <c:pt idx="37">
                  <c:v>-0.1111111111111111</c:v>
                </c:pt>
                <c:pt idx="38">
                  <c:v>-0.1111111111111111</c:v>
                </c:pt>
                <c:pt idx="39">
                  <c:v>-0.1111111111111111</c:v>
                </c:pt>
                <c:pt idx="40">
                  <c:v>-0.1111111111111111</c:v>
                </c:pt>
                <c:pt idx="41">
                  <c:v>-0.1111111111111111</c:v>
                </c:pt>
                <c:pt idx="42">
                  <c:v>-0.1111111111111111</c:v>
                </c:pt>
                <c:pt idx="43">
                  <c:v>-0.1111111111111111</c:v>
                </c:pt>
                <c:pt idx="44">
                  <c:v>-0.1111111111111111</c:v>
                </c:pt>
                <c:pt idx="45">
                  <c:v>-0.1111111111111111</c:v>
                </c:pt>
                <c:pt idx="46">
                  <c:v>-0.1111111111111111</c:v>
                </c:pt>
                <c:pt idx="47">
                  <c:v>-0.1111111111111111</c:v>
                </c:pt>
                <c:pt idx="48">
                  <c:v>-0.1111111111111111</c:v>
                </c:pt>
                <c:pt idx="49">
                  <c:v>-0.1111111111111111</c:v>
                </c:pt>
                <c:pt idx="50">
                  <c:v>-0.1111111111111111</c:v>
                </c:pt>
                <c:pt idx="51">
                  <c:v>-0.1111111111111111</c:v>
                </c:pt>
                <c:pt idx="52">
                  <c:v>-0.1111111111111111</c:v>
                </c:pt>
                <c:pt idx="53">
                  <c:v>-0.1111111111111111</c:v>
                </c:pt>
                <c:pt idx="54">
                  <c:v>-0.1111111111111111</c:v>
                </c:pt>
                <c:pt idx="55">
                  <c:v>-0.1111111111111111</c:v>
                </c:pt>
                <c:pt idx="56">
                  <c:v>-0.1111111111111111</c:v>
                </c:pt>
                <c:pt idx="57">
                  <c:v>-0.1111111111111111</c:v>
                </c:pt>
                <c:pt idx="58">
                  <c:v>-0.1111111111111111</c:v>
                </c:pt>
                <c:pt idx="59">
                  <c:v>-0.1111111111111111</c:v>
                </c:pt>
                <c:pt idx="60">
                  <c:v>-0.1111111111111111</c:v>
                </c:pt>
                <c:pt idx="61">
                  <c:v>-0.1111111111111111</c:v>
                </c:pt>
                <c:pt idx="62">
                  <c:v>-0.1111111111111111</c:v>
                </c:pt>
                <c:pt idx="63">
                  <c:v>-0.1111111111111111</c:v>
                </c:pt>
                <c:pt idx="64">
                  <c:v>-0.1111111111111111</c:v>
                </c:pt>
                <c:pt idx="65">
                  <c:v>-0.1111111111111111</c:v>
                </c:pt>
                <c:pt idx="66">
                  <c:v>-0.1111111111111111</c:v>
                </c:pt>
                <c:pt idx="67">
                  <c:v>-0.1111111111111111</c:v>
                </c:pt>
                <c:pt idx="68">
                  <c:v>-0.1111111111111111</c:v>
                </c:pt>
                <c:pt idx="69">
                  <c:v>-0.1111111111111111</c:v>
                </c:pt>
                <c:pt idx="70">
                  <c:v>-0.1111111111111111</c:v>
                </c:pt>
                <c:pt idx="71">
                  <c:v>-0.1111111111111111</c:v>
                </c:pt>
                <c:pt idx="72">
                  <c:v>-0.1111111111111111</c:v>
                </c:pt>
                <c:pt idx="73">
                  <c:v>-0.1111111111111111</c:v>
                </c:pt>
                <c:pt idx="74">
                  <c:v>-0.1111111111111111</c:v>
                </c:pt>
                <c:pt idx="75">
                  <c:v>-0.1111111111111111</c:v>
                </c:pt>
                <c:pt idx="76">
                  <c:v>-0.1111111111111111</c:v>
                </c:pt>
                <c:pt idx="77">
                  <c:v>-0.1111111111111111</c:v>
                </c:pt>
                <c:pt idx="78">
                  <c:v>-0.1111111111111111</c:v>
                </c:pt>
                <c:pt idx="79">
                  <c:v>-0.1111111111111111</c:v>
                </c:pt>
                <c:pt idx="80">
                  <c:v>-0.1111111111111111</c:v>
                </c:pt>
                <c:pt idx="81">
                  <c:v>-0.1111111111111111</c:v>
                </c:pt>
                <c:pt idx="82">
                  <c:v>-0.1111111111111111</c:v>
                </c:pt>
                <c:pt idx="83">
                  <c:v>-0.1111111111111111</c:v>
                </c:pt>
                <c:pt idx="84">
                  <c:v>-0.1111111111111111</c:v>
                </c:pt>
                <c:pt idx="85">
                  <c:v>-0.1111111111111111</c:v>
                </c:pt>
                <c:pt idx="86">
                  <c:v>-0.1111111111111111</c:v>
                </c:pt>
                <c:pt idx="87">
                  <c:v>-0.1111111111111111</c:v>
                </c:pt>
                <c:pt idx="88">
                  <c:v>-0.1111111111111111</c:v>
                </c:pt>
                <c:pt idx="89">
                  <c:v>-0.1111111111111111</c:v>
                </c:pt>
                <c:pt idx="90">
                  <c:v>-0.1111111111111111</c:v>
                </c:pt>
                <c:pt idx="91">
                  <c:v>-0.1111111111111111</c:v>
                </c:pt>
                <c:pt idx="92">
                  <c:v>-0.1111111111111111</c:v>
                </c:pt>
                <c:pt idx="93">
                  <c:v>-0.1111111111111111</c:v>
                </c:pt>
                <c:pt idx="94">
                  <c:v>-0.1111111111111111</c:v>
                </c:pt>
                <c:pt idx="95">
                  <c:v>-0.1111111111111111</c:v>
                </c:pt>
                <c:pt idx="96">
                  <c:v>-0.1111111111111111</c:v>
                </c:pt>
                <c:pt idx="97">
                  <c:v>-0.1111111111111111</c:v>
                </c:pt>
                <c:pt idx="98">
                  <c:v>-0.1111111111111111</c:v>
                </c:pt>
                <c:pt idx="99">
                  <c:v>-0.1111111111111111</c:v>
                </c:pt>
                <c:pt idx="100">
                  <c:v>-0.1111111111111111</c:v>
                </c:pt>
                <c:pt idx="101">
                  <c:v>-0.1111111111111111</c:v>
                </c:pt>
                <c:pt idx="102">
                  <c:v>-0.1111111111111111</c:v>
                </c:pt>
                <c:pt idx="103">
                  <c:v>-0.1111111111111111</c:v>
                </c:pt>
                <c:pt idx="104">
                  <c:v>-0.1111111111111111</c:v>
                </c:pt>
                <c:pt idx="105">
                  <c:v>-0.1111111111111111</c:v>
                </c:pt>
                <c:pt idx="106">
                  <c:v>-0.1111111111111111</c:v>
                </c:pt>
                <c:pt idx="107">
                  <c:v>-0.1111111111111111</c:v>
                </c:pt>
                <c:pt idx="108">
                  <c:v>-0.1111111111111111</c:v>
                </c:pt>
                <c:pt idx="109">
                  <c:v>-0.1111111111111111</c:v>
                </c:pt>
                <c:pt idx="110">
                  <c:v>-0.1111111111111111</c:v>
                </c:pt>
                <c:pt idx="111">
                  <c:v>-0.1111111111111111</c:v>
                </c:pt>
                <c:pt idx="112">
                  <c:v>-0.1111111111111111</c:v>
                </c:pt>
                <c:pt idx="113">
                  <c:v>-0.1111111111111111</c:v>
                </c:pt>
                <c:pt idx="114">
                  <c:v>-0.1111111111111111</c:v>
                </c:pt>
                <c:pt idx="115">
                  <c:v>-0.1111111111111111</c:v>
                </c:pt>
                <c:pt idx="116">
                  <c:v>-0.1111111111111111</c:v>
                </c:pt>
                <c:pt idx="117">
                  <c:v>-0.1111111111111111</c:v>
                </c:pt>
                <c:pt idx="118">
                  <c:v>-0.1111111111111111</c:v>
                </c:pt>
                <c:pt idx="119">
                  <c:v>-0.1111111111111111</c:v>
                </c:pt>
                <c:pt idx="120">
                  <c:v>-0.1111111111111111</c:v>
                </c:pt>
                <c:pt idx="121">
                  <c:v>-0.1111111111111111</c:v>
                </c:pt>
                <c:pt idx="122">
                  <c:v>-0.1111111111111111</c:v>
                </c:pt>
                <c:pt idx="123">
                  <c:v>-0.1111111111111111</c:v>
                </c:pt>
                <c:pt idx="124">
                  <c:v>-0.1111111111111111</c:v>
                </c:pt>
                <c:pt idx="125">
                  <c:v>-0.1111111111111111</c:v>
                </c:pt>
                <c:pt idx="126">
                  <c:v>-0.1111111111111111</c:v>
                </c:pt>
                <c:pt idx="127">
                  <c:v>-0.1111111111111111</c:v>
                </c:pt>
                <c:pt idx="128">
                  <c:v>-0.1111111111111111</c:v>
                </c:pt>
                <c:pt idx="129">
                  <c:v>-0.1111111111111111</c:v>
                </c:pt>
                <c:pt idx="130">
                  <c:v>-0.1111111111111111</c:v>
                </c:pt>
                <c:pt idx="131">
                  <c:v>-0.1111111111111111</c:v>
                </c:pt>
                <c:pt idx="132">
                  <c:v>-0.1111111111111111</c:v>
                </c:pt>
                <c:pt idx="133">
                  <c:v>-0.1111111111111111</c:v>
                </c:pt>
                <c:pt idx="134">
                  <c:v>-0.1111111111111111</c:v>
                </c:pt>
                <c:pt idx="135">
                  <c:v>-0.1111111111111111</c:v>
                </c:pt>
                <c:pt idx="136">
                  <c:v>-0.1111111111111111</c:v>
                </c:pt>
                <c:pt idx="137">
                  <c:v>-0.1111111111111111</c:v>
                </c:pt>
                <c:pt idx="138">
                  <c:v>-0.1111111111111111</c:v>
                </c:pt>
                <c:pt idx="139">
                  <c:v>-0.1111111111111111</c:v>
                </c:pt>
                <c:pt idx="140">
                  <c:v>-0.1111111111111111</c:v>
                </c:pt>
                <c:pt idx="141">
                  <c:v>-0.1111111111111111</c:v>
                </c:pt>
                <c:pt idx="142">
                  <c:v>-0.1111111111111111</c:v>
                </c:pt>
                <c:pt idx="143">
                  <c:v>-0.1111111111111111</c:v>
                </c:pt>
                <c:pt idx="144">
                  <c:v>-0.1111111111111111</c:v>
                </c:pt>
                <c:pt idx="145">
                  <c:v>-0.1111111111111111</c:v>
                </c:pt>
                <c:pt idx="146">
                  <c:v>-0.1111111111111111</c:v>
                </c:pt>
                <c:pt idx="147">
                  <c:v>-0.1111111111111111</c:v>
                </c:pt>
                <c:pt idx="148">
                  <c:v>-0.1111111111111111</c:v>
                </c:pt>
                <c:pt idx="149">
                  <c:v>-0.1111111111111111</c:v>
                </c:pt>
                <c:pt idx="150">
                  <c:v>-0.1111111111111111</c:v>
                </c:pt>
                <c:pt idx="151">
                  <c:v>-0.1111111111111111</c:v>
                </c:pt>
                <c:pt idx="152">
                  <c:v>-0.1111111111111111</c:v>
                </c:pt>
                <c:pt idx="153">
                  <c:v>-0.1111111111111111</c:v>
                </c:pt>
                <c:pt idx="154">
                  <c:v>-0.1111111111111111</c:v>
                </c:pt>
                <c:pt idx="155">
                  <c:v>-0.1111111111111111</c:v>
                </c:pt>
                <c:pt idx="156">
                  <c:v>-0.1111111111111111</c:v>
                </c:pt>
                <c:pt idx="157">
                  <c:v>-0.1111111111111111</c:v>
                </c:pt>
                <c:pt idx="158">
                  <c:v>-0.1111111111111111</c:v>
                </c:pt>
                <c:pt idx="159">
                  <c:v>-0.1111111111111111</c:v>
                </c:pt>
                <c:pt idx="160">
                  <c:v>-0.1111111111111111</c:v>
                </c:pt>
                <c:pt idx="161">
                  <c:v>-0.1111111111111111</c:v>
                </c:pt>
                <c:pt idx="162">
                  <c:v>-0.1111111111111111</c:v>
                </c:pt>
                <c:pt idx="163">
                  <c:v>-0.1111111111111111</c:v>
                </c:pt>
                <c:pt idx="164">
                  <c:v>-0.1111111111111111</c:v>
                </c:pt>
                <c:pt idx="165">
                  <c:v>-0.1111111111111111</c:v>
                </c:pt>
                <c:pt idx="166">
                  <c:v>-0.1111111111111111</c:v>
                </c:pt>
                <c:pt idx="167">
                  <c:v>-0.1111111111111111</c:v>
                </c:pt>
                <c:pt idx="168">
                  <c:v>-0.1111111111111111</c:v>
                </c:pt>
                <c:pt idx="169">
                  <c:v>-0.1111111111111111</c:v>
                </c:pt>
                <c:pt idx="170">
                  <c:v>-0.1111111111111111</c:v>
                </c:pt>
                <c:pt idx="171">
                  <c:v>-0.1111111111111111</c:v>
                </c:pt>
                <c:pt idx="172">
                  <c:v>-0.1111111111111111</c:v>
                </c:pt>
                <c:pt idx="173">
                  <c:v>-0.1111111111111111</c:v>
                </c:pt>
                <c:pt idx="174">
                  <c:v>-0.1111111111111111</c:v>
                </c:pt>
                <c:pt idx="175">
                  <c:v>-0.1111111111111111</c:v>
                </c:pt>
                <c:pt idx="176">
                  <c:v>-0.1111111111111111</c:v>
                </c:pt>
                <c:pt idx="177">
                  <c:v>-0.1111111111111111</c:v>
                </c:pt>
                <c:pt idx="178">
                  <c:v>-0.1111111111111111</c:v>
                </c:pt>
                <c:pt idx="179">
                  <c:v>-0.1111111111111111</c:v>
                </c:pt>
                <c:pt idx="180">
                  <c:v>-0.1111111111111111</c:v>
                </c:pt>
                <c:pt idx="181">
                  <c:v>-0.1111111111111111</c:v>
                </c:pt>
                <c:pt idx="182">
                  <c:v>-0.1111111111111111</c:v>
                </c:pt>
                <c:pt idx="183">
                  <c:v>-0.1111111111111111</c:v>
                </c:pt>
                <c:pt idx="184">
                  <c:v>-0.1111111111111111</c:v>
                </c:pt>
                <c:pt idx="185">
                  <c:v>-0.1111111111111111</c:v>
                </c:pt>
                <c:pt idx="186">
                  <c:v>-0.1111111111111111</c:v>
                </c:pt>
                <c:pt idx="187">
                  <c:v>-0.1111111111111111</c:v>
                </c:pt>
                <c:pt idx="188">
                  <c:v>-0.1111111111111111</c:v>
                </c:pt>
                <c:pt idx="189">
                  <c:v>-0.1111111111111111</c:v>
                </c:pt>
                <c:pt idx="190">
                  <c:v>-0.1111111111111111</c:v>
                </c:pt>
                <c:pt idx="191">
                  <c:v>-0.1111111111111111</c:v>
                </c:pt>
                <c:pt idx="192">
                  <c:v>-0.1111111111111111</c:v>
                </c:pt>
                <c:pt idx="193">
                  <c:v>-0.1111111111111111</c:v>
                </c:pt>
                <c:pt idx="194">
                  <c:v>-0.1111111111111111</c:v>
                </c:pt>
                <c:pt idx="195">
                  <c:v>-0.1111111111111111</c:v>
                </c:pt>
                <c:pt idx="196">
                  <c:v>-0.1111111111111111</c:v>
                </c:pt>
                <c:pt idx="197">
                  <c:v>-0.1111111111111111</c:v>
                </c:pt>
                <c:pt idx="198">
                  <c:v>-0.1111111111111111</c:v>
                </c:pt>
                <c:pt idx="199">
                  <c:v>-0.1111111111111111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C22F-D24C-831C-C065FB0C36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"/>
        <c:axId val="100"/>
      </c:lineChart>
      <c:catAx>
        <c:axId val="10"/>
        <c:scaling>
          <c:orientation val="minMax"/>
        </c:scaling>
        <c:delete val="1"/>
        <c:axPos val="b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Drawdown (%)</a:t>
                </a:r>
              </a:p>
            </c:rich>
          </c:tx>
          <c:overlay val="1"/>
        </c:title>
        <c:numFmt formatCode="0.00%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  <c:txPr>
        <a:bodyPr/>
        <a:lstStyle/>
        <a:p>
          <a:pPr rtl="0">
            <a:defRPr/>
          </a:pPr>
          <a:endParaRPr lang="en-VN"/>
        </a:p>
      </c:txPr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>
              <a:defRPr/>
            </a:pPr>
            <a:r>
              <a:t>Net P&amp;L Theo Tháng ($)</a:t>
            </a:r>
          </a:p>
        </c:rich>
      </c:tx>
      <c:overlay val="1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'📈 Biểu Đồ'!$H$211</c:f>
              <c:strCache>
                <c:ptCount val="1"/>
                <c:pt idx="0">
                  <c:v>Net P&amp;L ($)</c:v>
                </c:pt>
              </c:strCache>
            </c:strRef>
          </c:tx>
          <c:spPr>
            <a:solidFill>
              <a:srgbClr val="2E75B6"/>
            </a:solidFill>
            <a:ln>
              <a:prstDash val="solid"/>
            </a:ln>
          </c:spPr>
          <c:invertIfNegative val="1"/>
          <c:cat>
            <c:strRef>
              <c:f>'📈 Biểu Đồ'!$B$212:$B$229</c:f>
              <c:strCache>
                <c:ptCount val="18"/>
                <c:pt idx="0">
                  <c:v>T1/2025</c:v>
                </c:pt>
                <c:pt idx="1">
                  <c:v>T2/2025</c:v>
                </c:pt>
                <c:pt idx="2">
                  <c:v>T3/2025</c:v>
                </c:pt>
                <c:pt idx="3">
                  <c:v>T4/2025</c:v>
                </c:pt>
                <c:pt idx="4">
                  <c:v>T5/2025</c:v>
                </c:pt>
                <c:pt idx="5">
                  <c:v>T6/2025</c:v>
                </c:pt>
                <c:pt idx="6">
                  <c:v>T7/2025</c:v>
                </c:pt>
                <c:pt idx="7">
                  <c:v>T8/2025</c:v>
                </c:pt>
                <c:pt idx="8">
                  <c:v>T9/2025</c:v>
                </c:pt>
                <c:pt idx="9">
                  <c:v>T10/2025</c:v>
                </c:pt>
                <c:pt idx="10">
                  <c:v>T11/2025</c:v>
                </c:pt>
                <c:pt idx="11">
                  <c:v>T12/2025</c:v>
                </c:pt>
                <c:pt idx="12">
                  <c:v>T1/2026</c:v>
                </c:pt>
                <c:pt idx="13">
                  <c:v>T2/2026</c:v>
                </c:pt>
                <c:pt idx="14">
                  <c:v>T3/2026</c:v>
                </c:pt>
                <c:pt idx="15">
                  <c:v>T4/2026</c:v>
                </c:pt>
                <c:pt idx="16">
                  <c:v>T5/2026</c:v>
                </c:pt>
                <c:pt idx="17">
                  <c:v>T6/2026</c:v>
                </c:pt>
              </c:strCache>
            </c:strRef>
          </c:cat>
          <c:val>
            <c:numRef>
              <c:f>'📈 Biểu Đồ'!$H$212:$H$229</c:f>
              <c:numCache>
                <c:formatCode>"$"#,##0.00;[Red]"$"\(#,##0.00\)</c:formatCode>
                <c:ptCount val="1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2000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>
                    <a:prstDash val="solid"/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3987-A140-8531-DE69C58A7C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t>P&amp;L ($)</a:t>
                </a:r>
              </a:p>
            </c:rich>
          </c:tx>
          <c:overlay val="1"/>
        </c:title>
        <c:numFmt formatCode="&quot;$&quot;#,##0.00;[Red]&quot;$&quot;\(#,##0.00\)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254000</xdr:colOff>
      <xdr:row>5</xdr:row>
      <xdr:rowOff>25400</xdr:rowOff>
    </xdr:from>
    <xdr:ext cx="9360000" cy="90932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24</xdr:col>
      <xdr:colOff>660400</xdr:colOff>
      <xdr:row>4</xdr:row>
      <xdr:rowOff>190500</xdr:rowOff>
    </xdr:from>
    <xdr:ext cx="9360000" cy="90424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  <xdr:oneCellAnchor>
    <xdr:from>
      <xdr:col>9</xdr:col>
      <xdr:colOff>0</xdr:colOff>
      <xdr:row>209</xdr:row>
      <xdr:rowOff>0</xdr:rowOff>
    </xdr:from>
    <xdr:ext cx="9360000" cy="5760000"/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info@ratiotrading.vn" TargetMode="External"/><Relationship Id="rId3" Type="http://schemas.openxmlformats.org/officeDocument/2006/relationships/hyperlink" Target="https://t.me/WyckoffiansVN" TargetMode="External"/><Relationship Id="rId7" Type="http://schemas.openxmlformats.org/officeDocument/2006/relationships/hyperlink" Target="https://t.me/RatioTradingLibrary" TargetMode="External"/><Relationship Id="rId2" Type="http://schemas.openxmlformats.org/officeDocument/2006/relationships/hyperlink" Target="https://zalo.me/0762394571" TargetMode="External"/><Relationship Id="rId1" Type="http://schemas.openxmlformats.org/officeDocument/2006/relationships/hyperlink" Target="https://ratiotrading.academy/" TargetMode="External"/><Relationship Id="rId6" Type="http://schemas.openxmlformats.org/officeDocument/2006/relationships/hyperlink" Target="https://www.facebook.com/joshuyvu.academy/" TargetMode="External"/><Relationship Id="rId5" Type="http://schemas.openxmlformats.org/officeDocument/2006/relationships/hyperlink" Target="https://www.facebook.com/ratiotradingvn" TargetMode="External"/><Relationship Id="rId4" Type="http://schemas.openxmlformats.org/officeDocument/2006/relationships/hyperlink" Target="https://t.me/joshuyvu" TargetMode="External"/><Relationship Id="rId9" Type="http://schemas.openxmlformats.org/officeDocument/2006/relationships/hyperlink" Target="mailto:info@ratiotrading.academy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2E75B6"/>
  </sheetPr>
  <dimension ref="A1:W202"/>
  <sheetViews>
    <sheetView showGridLines="0" workbookViewId="0">
      <pane xSplit="1" ySplit="1" topLeftCell="B2" activePane="bottomRight" state="frozen"/>
      <selection pane="topRight"/>
      <selection pane="bottomLeft"/>
      <selection pane="bottomRight" activeCell="I8" sqref="I8"/>
    </sheetView>
  </sheetViews>
  <sheetFormatPr baseColWidth="10" defaultColWidth="8.83203125" defaultRowHeight="15" x14ac:dyDescent="0.2"/>
  <cols>
    <col min="1" max="1" width="8.5" customWidth="1"/>
    <col min="2" max="3" width="13" customWidth="1"/>
    <col min="4" max="4" width="12" customWidth="1"/>
    <col min="5" max="5" width="7" customWidth="1"/>
    <col min="6" max="6" width="8" customWidth="1"/>
    <col min="7" max="10" width="12" customWidth="1"/>
    <col min="11" max="12" width="9" customWidth="1"/>
    <col min="13" max="13" width="11" customWidth="1"/>
    <col min="14" max="14" width="13" customWidth="1"/>
    <col min="15" max="15" width="12" customWidth="1"/>
    <col min="16" max="16" width="15" customWidth="1"/>
    <col min="17" max="17" width="14" customWidth="1"/>
    <col min="18" max="18" width="10" customWidth="1"/>
    <col min="19" max="20" width="11" customWidth="1"/>
    <col min="21" max="21" width="18.5" customWidth="1"/>
    <col min="22" max="22" width="75.33203125" customWidth="1"/>
    <col min="23" max="23" width="17.83203125" customWidth="1"/>
  </cols>
  <sheetData>
    <row r="1" spans="1:23" ht="40" customHeight="1" x14ac:dyDescent="0.2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1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7" t="s">
        <v>20</v>
      </c>
      <c r="V1" s="8" t="s">
        <v>21</v>
      </c>
      <c r="W1" s="7" t="s">
        <v>22</v>
      </c>
    </row>
    <row r="2" spans="1:23" ht="18" customHeight="1" x14ac:dyDescent="0.2">
      <c r="A2" s="9">
        <f>1</f>
        <v>1</v>
      </c>
      <c r="B2" s="131">
        <v>46177</v>
      </c>
      <c r="C2" s="131">
        <v>46177</v>
      </c>
      <c r="D2" s="132" t="s">
        <v>23</v>
      </c>
      <c r="E2" s="133">
        <v>2</v>
      </c>
      <c r="F2" s="132" t="s">
        <v>574</v>
      </c>
      <c r="G2" s="134">
        <v>60000</v>
      </c>
      <c r="H2" s="134">
        <v>59000</v>
      </c>
      <c r="I2" s="134">
        <v>66000</v>
      </c>
      <c r="J2" s="134">
        <v>66000</v>
      </c>
      <c r="K2" s="10">
        <f t="shared" ref="K2:K33" si="0">IFERROR(IF(F2="Mua",(I2-G2)/(G2-H2),(G2-I2)/(H2-G2)),"")</f>
        <v>6</v>
      </c>
      <c r="L2" s="10">
        <f t="shared" ref="L2:L33" si="1">IFERROR(IF(F2="Mua",(J2-G2)/(G2-H2),(G2-J2)/(H2-G2)),"")</f>
        <v>6</v>
      </c>
      <c r="M2" s="132" t="s">
        <v>25</v>
      </c>
      <c r="N2" s="135">
        <v>1000</v>
      </c>
      <c r="O2" s="11">
        <f>IFERROR(IF(N2&lt;&gt;"",N2/'🏦 Lịch Sử Vốn'!D43,""),"")</f>
        <v>0.5</v>
      </c>
      <c r="P2" s="12">
        <f>'🏦 Lịch Sử Vốn'!D43+IF(N2&lt;&gt;"",N2,0)</f>
        <v>3000</v>
      </c>
      <c r="Q2" s="132" t="s">
        <v>26</v>
      </c>
      <c r="R2" s="132" t="s">
        <v>73</v>
      </c>
      <c r="S2" s="132" t="s">
        <v>576</v>
      </c>
      <c r="T2" s="132" t="s">
        <v>577</v>
      </c>
      <c r="U2" s="13" t="str">
        <f ca="1">IFERROR(IF(AND(B2&lt;&gt;"",C2&lt;&gt;""),_xludf.DAYS(C2,B2),""),"—")</f>
        <v>—</v>
      </c>
      <c r="V2" s="136"/>
      <c r="W2" s="137"/>
    </row>
    <row r="3" spans="1:23" ht="18" customHeight="1" x14ac:dyDescent="0.2">
      <c r="A3" s="9">
        <f>2</f>
        <v>2</v>
      </c>
      <c r="B3" s="131">
        <v>46174</v>
      </c>
      <c r="C3" s="131">
        <v>46175</v>
      </c>
      <c r="D3" s="132" t="s">
        <v>463</v>
      </c>
      <c r="E3" s="133">
        <v>1</v>
      </c>
      <c r="F3" s="132" t="s">
        <v>24</v>
      </c>
      <c r="G3" s="134">
        <v>4350</v>
      </c>
      <c r="H3" s="134">
        <v>2340</v>
      </c>
      <c r="I3" s="134">
        <v>2390</v>
      </c>
      <c r="J3" s="134">
        <v>2340</v>
      </c>
      <c r="K3" s="10">
        <f t="shared" si="0"/>
        <v>-0.97512437810945274</v>
      </c>
      <c r="L3" s="10">
        <f>IFERROR(IF(F3="Mua",(J3-G3)/(G3-H3),(G3-J3)/(H3-G3)),"")</f>
        <v>-1</v>
      </c>
      <c r="M3" s="132" t="s">
        <v>28</v>
      </c>
      <c r="N3" s="135">
        <v>-500</v>
      </c>
      <c r="O3" s="11">
        <f t="shared" ref="O3:O34" si="2">IFERROR(IF(N3&lt;&gt;"",N3/P2,""),"")</f>
        <v>-0.16666666666666666</v>
      </c>
      <c r="P3" s="12">
        <f t="shared" ref="P3:P34" si="3">IF(N3&lt;&gt;"",P2+N3,P2)</f>
        <v>2500</v>
      </c>
      <c r="Q3" s="132" t="s">
        <v>29</v>
      </c>
      <c r="R3" s="132" t="s">
        <v>73</v>
      </c>
      <c r="S3" s="132" t="s">
        <v>579</v>
      </c>
      <c r="T3" s="132" t="s">
        <v>580</v>
      </c>
      <c r="U3" s="13" t="str">
        <f ca="1">IFERROR(IF(AND(B3&lt;&gt;"",C3&lt;&gt;""),_xludf.DAYS(C3,B3),""),"—")</f>
        <v>—</v>
      </c>
      <c r="V3" s="136"/>
      <c r="W3" s="137"/>
    </row>
    <row r="4" spans="1:23" ht="18" customHeight="1" x14ac:dyDescent="0.2">
      <c r="A4" s="9">
        <f>3</f>
        <v>3</v>
      </c>
      <c r="B4" s="131">
        <v>46175</v>
      </c>
      <c r="C4" s="131">
        <v>46176</v>
      </c>
      <c r="D4" s="132" t="s">
        <v>463</v>
      </c>
      <c r="E4" s="133" t="s">
        <v>575</v>
      </c>
      <c r="F4" s="132" t="s">
        <v>24</v>
      </c>
      <c r="G4" s="134">
        <v>4110</v>
      </c>
      <c r="H4" s="134">
        <v>4100</v>
      </c>
      <c r="I4" s="134">
        <v>4550</v>
      </c>
      <c r="J4" s="134">
        <v>4550</v>
      </c>
      <c r="K4" s="10">
        <f t="shared" si="0"/>
        <v>44</v>
      </c>
      <c r="L4" s="10">
        <f t="shared" si="1"/>
        <v>44</v>
      </c>
      <c r="M4" s="132" t="s">
        <v>25</v>
      </c>
      <c r="N4" s="135">
        <v>2000</v>
      </c>
      <c r="O4" s="11">
        <f t="shared" si="2"/>
        <v>0.8</v>
      </c>
      <c r="P4" s="12">
        <f t="shared" si="3"/>
        <v>4500</v>
      </c>
      <c r="Q4" s="132" t="s">
        <v>82</v>
      </c>
      <c r="R4" s="132" t="s">
        <v>71</v>
      </c>
      <c r="S4" s="132" t="s">
        <v>578</v>
      </c>
      <c r="T4" s="132" t="s">
        <v>577</v>
      </c>
      <c r="U4" s="13" t="str">
        <f ca="1">IFERROR(IF(AND(B4&lt;&gt;"",C4&lt;&gt;""),_xludf.DAYS(C4,B4),""),"—")</f>
        <v>—</v>
      </c>
      <c r="V4" s="136"/>
      <c r="W4" s="137"/>
    </row>
    <row r="5" spans="1:23" ht="18" customHeight="1" x14ac:dyDescent="0.2">
      <c r="A5" s="9">
        <f>4</f>
        <v>4</v>
      </c>
      <c r="B5" s="131">
        <v>46175</v>
      </c>
      <c r="C5" s="131">
        <v>46176</v>
      </c>
      <c r="D5" s="132" t="s">
        <v>463</v>
      </c>
      <c r="E5" s="133" t="s">
        <v>584</v>
      </c>
      <c r="F5" s="132" t="s">
        <v>574</v>
      </c>
      <c r="G5" s="134">
        <v>4700</v>
      </c>
      <c r="H5" s="134">
        <v>4715</v>
      </c>
      <c r="I5" s="134">
        <v>4600</v>
      </c>
      <c r="J5" s="134">
        <v>4715</v>
      </c>
      <c r="K5" s="10">
        <f t="shared" si="0"/>
        <v>6.666666666666667</v>
      </c>
      <c r="L5" s="10">
        <f t="shared" si="1"/>
        <v>-1</v>
      </c>
      <c r="M5" s="132" t="s">
        <v>28</v>
      </c>
      <c r="N5" s="135">
        <v>-500</v>
      </c>
      <c r="O5" s="11">
        <f t="shared" si="2"/>
        <v>-0.1111111111111111</v>
      </c>
      <c r="P5" s="12">
        <f t="shared" si="3"/>
        <v>4000</v>
      </c>
      <c r="Q5" s="132" t="s">
        <v>26</v>
      </c>
      <c r="R5" s="132" t="s">
        <v>73</v>
      </c>
      <c r="S5" s="132" t="s">
        <v>579</v>
      </c>
      <c r="T5" s="132" t="s">
        <v>585</v>
      </c>
      <c r="U5" s="13" t="str">
        <f ca="1">IFERROR(IF(AND(B5&lt;&gt;"",C5&lt;&gt;""),_xludf.DAYS(C5,B5),""),"—")</f>
        <v>—</v>
      </c>
      <c r="V5" s="136"/>
      <c r="W5" s="137"/>
    </row>
    <row r="6" spans="1:23" ht="18" customHeight="1" x14ac:dyDescent="0.2">
      <c r="A6" s="9">
        <f>5</f>
        <v>5</v>
      </c>
      <c r="B6" s="131"/>
      <c r="C6" s="131"/>
      <c r="D6" s="132"/>
      <c r="E6" s="133"/>
      <c r="F6" s="132"/>
      <c r="G6" s="134"/>
      <c r="H6" s="134"/>
      <c r="I6" s="134"/>
      <c r="J6" s="134"/>
      <c r="K6" s="10" t="str">
        <f t="shared" si="0"/>
        <v/>
      </c>
      <c r="L6" s="10" t="str">
        <f t="shared" si="1"/>
        <v/>
      </c>
      <c r="M6" s="132"/>
      <c r="N6" s="135"/>
      <c r="O6" s="11" t="str">
        <f t="shared" si="2"/>
        <v/>
      </c>
      <c r="P6" s="12">
        <f t="shared" si="3"/>
        <v>4000</v>
      </c>
      <c r="Q6" s="132"/>
      <c r="R6" s="132"/>
      <c r="S6" s="132"/>
      <c r="T6" s="132"/>
      <c r="U6" s="13" t="str">
        <f>IFERROR(IF(AND(B6&lt;&gt;"",C6&lt;&gt;""),_xludf.DAYS(C6,B6),""),"—")</f>
        <v/>
      </c>
      <c r="V6" s="136"/>
      <c r="W6" s="137"/>
    </row>
    <row r="7" spans="1:23" ht="18" customHeight="1" x14ac:dyDescent="0.2">
      <c r="A7" s="9">
        <f>6</f>
        <v>6</v>
      </c>
      <c r="B7" s="131"/>
      <c r="C7" s="131"/>
      <c r="D7" s="132"/>
      <c r="E7" s="133"/>
      <c r="F7" s="132"/>
      <c r="G7" s="134"/>
      <c r="H7" s="134"/>
      <c r="I7" s="134"/>
      <c r="J7" s="134"/>
      <c r="K7" s="10" t="str">
        <f t="shared" si="0"/>
        <v/>
      </c>
      <c r="L7" s="10" t="str">
        <f t="shared" si="1"/>
        <v/>
      </c>
      <c r="M7" s="132"/>
      <c r="N7" s="135"/>
      <c r="O7" s="11" t="str">
        <f t="shared" si="2"/>
        <v/>
      </c>
      <c r="P7" s="12">
        <f t="shared" si="3"/>
        <v>4000</v>
      </c>
      <c r="Q7" s="132"/>
      <c r="R7" s="132"/>
      <c r="S7" s="132"/>
      <c r="T7" s="132"/>
      <c r="U7" s="13" t="str">
        <f>IFERROR(IF(AND(B7&lt;&gt;"",C7&lt;&gt;""),_xludf.DAYS(C7,B7),""),"—")</f>
        <v/>
      </c>
      <c r="V7" s="136"/>
      <c r="W7" s="137"/>
    </row>
    <row r="8" spans="1:23" ht="18" customHeight="1" x14ac:dyDescent="0.2">
      <c r="A8" s="9">
        <f>7</f>
        <v>7</v>
      </c>
      <c r="B8" s="131"/>
      <c r="C8" s="131"/>
      <c r="D8" s="132"/>
      <c r="E8" s="133"/>
      <c r="F8" s="132"/>
      <c r="G8" s="134"/>
      <c r="H8" s="134"/>
      <c r="I8" s="134"/>
      <c r="J8" s="134"/>
      <c r="K8" s="10" t="str">
        <f t="shared" si="0"/>
        <v/>
      </c>
      <c r="L8" s="10" t="str">
        <f t="shared" si="1"/>
        <v/>
      </c>
      <c r="M8" s="132"/>
      <c r="N8" s="135"/>
      <c r="O8" s="11" t="str">
        <f t="shared" si="2"/>
        <v/>
      </c>
      <c r="P8" s="12">
        <f t="shared" si="3"/>
        <v>4000</v>
      </c>
      <c r="Q8" s="132"/>
      <c r="R8" s="132"/>
      <c r="S8" s="132"/>
      <c r="T8" s="132"/>
      <c r="U8" s="13" t="str">
        <f>IFERROR(IF(AND(B8&lt;&gt;"",C8&lt;&gt;""),_xludf.DAYS(C8,B8),""),"—")</f>
        <v/>
      </c>
      <c r="V8" s="136"/>
      <c r="W8" s="137"/>
    </row>
    <row r="9" spans="1:23" ht="18" customHeight="1" x14ac:dyDescent="0.2">
      <c r="A9" s="9">
        <f>8</f>
        <v>8</v>
      </c>
      <c r="B9" s="131"/>
      <c r="C9" s="131"/>
      <c r="D9" s="132"/>
      <c r="E9" s="133"/>
      <c r="F9" s="132"/>
      <c r="G9" s="134"/>
      <c r="H9" s="134"/>
      <c r="I9" s="134"/>
      <c r="J9" s="134"/>
      <c r="K9" s="10" t="str">
        <f t="shared" si="0"/>
        <v/>
      </c>
      <c r="L9" s="10" t="str">
        <f t="shared" si="1"/>
        <v/>
      </c>
      <c r="M9" s="132"/>
      <c r="N9" s="135"/>
      <c r="O9" s="11" t="str">
        <f t="shared" si="2"/>
        <v/>
      </c>
      <c r="P9" s="12">
        <f t="shared" si="3"/>
        <v>4000</v>
      </c>
      <c r="Q9" s="132"/>
      <c r="R9" s="132"/>
      <c r="S9" s="132"/>
      <c r="T9" s="132"/>
      <c r="U9" s="13" t="str">
        <f>IFERROR(IF(AND(B9&lt;&gt;"",C9&lt;&gt;""),_xludf.DAYS(C9,B9),""),"—")</f>
        <v/>
      </c>
      <c r="V9" s="136"/>
      <c r="W9" s="137"/>
    </row>
    <row r="10" spans="1:23" ht="18" customHeight="1" x14ac:dyDescent="0.2">
      <c r="A10" s="9">
        <f>9</f>
        <v>9</v>
      </c>
      <c r="B10" s="131"/>
      <c r="C10" s="131"/>
      <c r="D10" s="132"/>
      <c r="E10" s="133"/>
      <c r="F10" s="132"/>
      <c r="G10" s="134"/>
      <c r="H10" s="134"/>
      <c r="I10" s="134"/>
      <c r="J10" s="134"/>
      <c r="K10" s="10" t="str">
        <f t="shared" si="0"/>
        <v/>
      </c>
      <c r="L10" s="10" t="str">
        <f t="shared" si="1"/>
        <v/>
      </c>
      <c r="M10" s="132"/>
      <c r="N10" s="135"/>
      <c r="O10" s="11" t="str">
        <f t="shared" si="2"/>
        <v/>
      </c>
      <c r="P10" s="12">
        <f t="shared" si="3"/>
        <v>4000</v>
      </c>
      <c r="Q10" s="132"/>
      <c r="R10" s="132"/>
      <c r="S10" s="132"/>
      <c r="T10" s="132"/>
      <c r="U10" s="13" t="str">
        <f>IFERROR(IF(AND(B10&lt;&gt;"",C10&lt;&gt;""),_xludf.DAYS(C10,B10),""),"—")</f>
        <v/>
      </c>
      <c r="V10" s="136"/>
      <c r="W10" s="137"/>
    </row>
    <row r="11" spans="1:23" ht="18" customHeight="1" x14ac:dyDescent="0.2">
      <c r="A11" s="9">
        <f>10</f>
        <v>10</v>
      </c>
      <c r="B11" s="131"/>
      <c r="C11" s="131"/>
      <c r="D11" s="132"/>
      <c r="E11" s="133"/>
      <c r="F11" s="132"/>
      <c r="G11" s="134"/>
      <c r="H11" s="134"/>
      <c r="I11" s="134"/>
      <c r="J11" s="134"/>
      <c r="K11" s="10" t="str">
        <f t="shared" si="0"/>
        <v/>
      </c>
      <c r="L11" s="10" t="str">
        <f t="shared" si="1"/>
        <v/>
      </c>
      <c r="M11" s="132"/>
      <c r="N11" s="135"/>
      <c r="O11" s="11" t="str">
        <f t="shared" si="2"/>
        <v/>
      </c>
      <c r="P11" s="12">
        <f t="shared" si="3"/>
        <v>4000</v>
      </c>
      <c r="Q11" s="132"/>
      <c r="R11" s="132"/>
      <c r="S11" s="132"/>
      <c r="T11" s="132"/>
      <c r="U11" s="13" t="str">
        <f>IFERROR(IF(AND(B11&lt;&gt;"",C11&lt;&gt;""),_xludf.DAYS(C11,B11),""),"—")</f>
        <v/>
      </c>
      <c r="V11" s="136"/>
      <c r="W11" s="137"/>
    </row>
    <row r="12" spans="1:23" ht="18" customHeight="1" x14ac:dyDescent="0.2">
      <c r="A12" s="9">
        <f>11</f>
        <v>11</v>
      </c>
      <c r="B12" s="131"/>
      <c r="C12" s="131"/>
      <c r="D12" s="132"/>
      <c r="E12" s="133"/>
      <c r="F12" s="132"/>
      <c r="G12" s="134"/>
      <c r="H12" s="134"/>
      <c r="I12" s="134"/>
      <c r="J12" s="134"/>
      <c r="K12" s="10" t="str">
        <f t="shared" si="0"/>
        <v/>
      </c>
      <c r="L12" s="10" t="str">
        <f t="shared" si="1"/>
        <v/>
      </c>
      <c r="M12" s="132"/>
      <c r="N12" s="135"/>
      <c r="O12" s="11" t="str">
        <f t="shared" si="2"/>
        <v/>
      </c>
      <c r="P12" s="12">
        <f t="shared" si="3"/>
        <v>4000</v>
      </c>
      <c r="Q12" s="132"/>
      <c r="R12" s="132"/>
      <c r="S12" s="132"/>
      <c r="T12" s="132"/>
      <c r="U12" s="13" t="str">
        <f>IFERROR(IF(AND(B12&lt;&gt;"",C12&lt;&gt;""),_xludf.DAYS(C12,B12),""),"—")</f>
        <v/>
      </c>
      <c r="V12" s="136"/>
      <c r="W12" s="137"/>
    </row>
    <row r="13" spans="1:23" ht="18" customHeight="1" x14ac:dyDescent="0.2">
      <c r="A13" s="9">
        <f>12</f>
        <v>12</v>
      </c>
      <c r="B13" s="131"/>
      <c r="C13" s="131"/>
      <c r="D13" s="132"/>
      <c r="E13" s="133"/>
      <c r="F13" s="132"/>
      <c r="G13" s="134"/>
      <c r="H13" s="134"/>
      <c r="I13" s="134"/>
      <c r="J13" s="134"/>
      <c r="K13" s="10" t="str">
        <f t="shared" si="0"/>
        <v/>
      </c>
      <c r="L13" s="10" t="str">
        <f t="shared" si="1"/>
        <v/>
      </c>
      <c r="M13" s="132"/>
      <c r="N13" s="135"/>
      <c r="O13" s="11" t="str">
        <f t="shared" si="2"/>
        <v/>
      </c>
      <c r="P13" s="12">
        <f t="shared" si="3"/>
        <v>4000</v>
      </c>
      <c r="Q13" s="132"/>
      <c r="R13" s="132"/>
      <c r="S13" s="132"/>
      <c r="T13" s="132"/>
      <c r="U13" s="13" t="str">
        <f>IFERROR(IF(AND(B13&lt;&gt;"",C13&lt;&gt;""),_xludf.DAYS(C13,B13),""),"—")</f>
        <v/>
      </c>
      <c r="V13" s="136"/>
      <c r="W13" s="137"/>
    </row>
    <row r="14" spans="1:23" ht="18" customHeight="1" x14ac:dyDescent="0.2">
      <c r="A14" s="9">
        <f>13</f>
        <v>13</v>
      </c>
      <c r="B14" s="131"/>
      <c r="C14" s="131"/>
      <c r="D14" s="132"/>
      <c r="E14" s="133"/>
      <c r="F14" s="132"/>
      <c r="G14" s="134"/>
      <c r="H14" s="134"/>
      <c r="I14" s="134"/>
      <c r="J14" s="134"/>
      <c r="K14" s="10" t="str">
        <f t="shared" si="0"/>
        <v/>
      </c>
      <c r="L14" s="10" t="str">
        <f t="shared" si="1"/>
        <v/>
      </c>
      <c r="M14" s="132"/>
      <c r="N14" s="135"/>
      <c r="O14" s="11" t="str">
        <f t="shared" si="2"/>
        <v/>
      </c>
      <c r="P14" s="12">
        <f t="shared" si="3"/>
        <v>4000</v>
      </c>
      <c r="Q14" s="132"/>
      <c r="R14" s="132"/>
      <c r="S14" s="132"/>
      <c r="T14" s="132"/>
      <c r="U14" s="13" t="str">
        <f>IFERROR(IF(AND(B14&lt;&gt;"",C14&lt;&gt;""),_xludf.DAYS(C14,B14),""),"—")</f>
        <v/>
      </c>
      <c r="V14" s="136"/>
      <c r="W14" s="137"/>
    </row>
    <row r="15" spans="1:23" ht="18" customHeight="1" x14ac:dyDescent="0.2">
      <c r="A15" s="9">
        <f>14</f>
        <v>14</v>
      </c>
      <c r="B15" s="131"/>
      <c r="C15" s="131"/>
      <c r="D15" s="132"/>
      <c r="E15" s="133"/>
      <c r="F15" s="132"/>
      <c r="G15" s="134"/>
      <c r="H15" s="134"/>
      <c r="I15" s="134"/>
      <c r="J15" s="134"/>
      <c r="K15" s="10" t="str">
        <f t="shared" si="0"/>
        <v/>
      </c>
      <c r="L15" s="10" t="str">
        <f t="shared" si="1"/>
        <v/>
      </c>
      <c r="M15" s="132"/>
      <c r="N15" s="135"/>
      <c r="O15" s="11" t="str">
        <f t="shared" si="2"/>
        <v/>
      </c>
      <c r="P15" s="12">
        <f t="shared" si="3"/>
        <v>4000</v>
      </c>
      <c r="Q15" s="132"/>
      <c r="R15" s="132"/>
      <c r="S15" s="132"/>
      <c r="T15" s="132"/>
      <c r="U15" s="13" t="str">
        <f>IFERROR(IF(AND(B15&lt;&gt;"",C15&lt;&gt;""),_xludf.DAYS(C15,B15),""),"—")</f>
        <v/>
      </c>
      <c r="V15" s="136"/>
      <c r="W15" s="137"/>
    </row>
    <row r="16" spans="1:23" ht="18" customHeight="1" x14ac:dyDescent="0.2">
      <c r="A16" s="9">
        <f>15</f>
        <v>15</v>
      </c>
      <c r="B16" s="131"/>
      <c r="C16" s="131"/>
      <c r="D16" s="132"/>
      <c r="E16" s="133"/>
      <c r="F16" s="132"/>
      <c r="G16" s="134"/>
      <c r="H16" s="134"/>
      <c r="I16" s="134"/>
      <c r="J16" s="134"/>
      <c r="K16" s="10" t="str">
        <f t="shared" si="0"/>
        <v/>
      </c>
      <c r="L16" s="10" t="str">
        <f t="shared" si="1"/>
        <v/>
      </c>
      <c r="M16" s="132"/>
      <c r="N16" s="135"/>
      <c r="O16" s="11" t="str">
        <f t="shared" si="2"/>
        <v/>
      </c>
      <c r="P16" s="12">
        <f t="shared" si="3"/>
        <v>4000</v>
      </c>
      <c r="Q16" s="132"/>
      <c r="R16" s="132"/>
      <c r="S16" s="132"/>
      <c r="T16" s="132"/>
      <c r="U16" s="13" t="str">
        <f>IFERROR(IF(AND(B16&lt;&gt;"",C16&lt;&gt;""),_xludf.DAYS(C16,B16),""),"—")</f>
        <v/>
      </c>
      <c r="V16" s="136"/>
      <c r="W16" s="137"/>
    </row>
    <row r="17" spans="1:23" ht="18" customHeight="1" x14ac:dyDescent="0.2">
      <c r="A17" s="9">
        <f>16</f>
        <v>16</v>
      </c>
      <c r="B17" s="131"/>
      <c r="C17" s="131"/>
      <c r="D17" s="132"/>
      <c r="E17" s="133"/>
      <c r="F17" s="132"/>
      <c r="G17" s="134"/>
      <c r="H17" s="134"/>
      <c r="I17" s="134"/>
      <c r="J17" s="134"/>
      <c r="K17" s="10" t="str">
        <f t="shared" si="0"/>
        <v/>
      </c>
      <c r="L17" s="10" t="str">
        <f t="shared" si="1"/>
        <v/>
      </c>
      <c r="M17" s="132"/>
      <c r="N17" s="135"/>
      <c r="O17" s="11" t="str">
        <f t="shared" si="2"/>
        <v/>
      </c>
      <c r="P17" s="12">
        <f t="shared" si="3"/>
        <v>4000</v>
      </c>
      <c r="Q17" s="132"/>
      <c r="R17" s="132"/>
      <c r="S17" s="132"/>
      <c r="T17" s="132"/>
      <c r="U17" s="13" t="str">
        <f>IFERROR(IF(AND(B17&lt;&gt;"",C17&lt;&gt;""),_xludf.DAYS(C17,B17),""),"—")</f>
        <v/>
      </c>
      <c r="V17" s="136"/>
      <c r="W17" s="137"/>
    </row>
    <row r="18" spans="1:23" ht="18" customHeight="1" x14ac:dyDescent="0.2">
      <c r="A18" s="9">
        <f>17</f>
        <v>17</v>
      </c>
      <c r="B18" s="131"/>
      <c r="C18" s="131"/>
      <c r="D18" s="132"/>
      <c r="E18" s="133"/>
      <c r="F18" s="132"/>
      <c r="G18" s="134"/>
      <c r="H18" s="134"/>
      <c r="I18" s="134"/>
      <c r="J18" s="134"/>
      <c r="K18" s="10" t="str">
        <f t="shared" si="0"/>
        <v/>
      </c>
      <c r="L18" s="10" t="str">
        <f t="shared" si="1"/>
        <v/>
      </c>
      <c r="M18" s="132"/>
      <c r="N18" s="135"/>
      <c r="O18" s="11" t="str">
        <f t="shared" si="2"/>
        <v/>
      </c>
      <c r="P18" s="12">
        <f t="shared" si="3"/>
        <v>4000</v>
      </c>
      <c r="Q18" s="132"/>
      <c r="R18" s="132"/>
      <c r="S18" s="132"/>
      <c r="T18" s="132"/>
      <c r="U18" s="13" t="str">
        <f>IFERROR(IF(AND(B18&lt;&gt;"",C18&lt;&gt;""),_xludf.DAYS(C18,B18),""),"—")</f>
        <v/>
      </c>
      <c r="V18" s="136"/>
      <c r="W18" s="137"/>
    </row>
    <row r="19" spans="1:23" ht="18" customHeight="1" x14ac:dyDescent="0.2">
      <c r="A19" s="9">
        <f>18</f>
        <v>18</v>
      </c>
      <c r="B19" s="131"/>
      <c r="C19" s="131"/>
      <c r="D19" s="132"/>
      <c r="E19" s="133"/>
      <c r="F19" s="132"/>
      <c r="G19" s="134"/>
      <c r="H19" s="134"/>
      <c r="I19" s="134"/>
      <c r="J19" s="134"/>
      <c r="K19" s="10" t="str">
        <f t="shared" si="0"/>
        <v/>
      </c>
      <c r="L19" s="10" t="str">
        <f t="shared" si="1"/>
        <v/>
      </c>
      <c r="M19" s="132"/>
      <c r="N19" s="135"/>
      <c r="O19" s="11" t="str">
        <f t="shared" si="2"/>
        <v/>
      </c>
      <c r="P19" s="12">
        <f t="shared" si="3"/>
        <v>4000</v>
      </c>
      <c r="Q19" s="132"/>
      <c r="R19" s="132"/>
      <c r="S19" s="132"/>
      <c r="T19" s="132"/>
      <c r="U19" s="13" t="str">
        <f>IFERROR(IF(AND(B19&lt;&gt;"",C19&lt;&gt;""),_xludf.DAYS(C19,B19),""),"—")</f>
        <v/>
      </c>
      <c r="V19" s="136"/>
      <c r="W19" s="137"/>
    </row>
    <row r="20" spans="1:23" ht="18" customHeight="1" x14ac:dyDescent="0.2">
      <c r="A20" s="9">
        <f>19</f>
        <v>19</v>
      </c>
      <c r="B20" s="131"/>
      <c r="C20" s="131"/>
      <c r="D20" s="132"/>
      <c r="E20" s="133"/>
      <c r="F20" s="132"/>
      <c r="G20" s="134"/>
      <c r="H20" s="134"/>
      <c r="I20" s="134"/>
      <c r="J20" s="134"/>
      <c r="K20" s="10" t="str">
        <f t="shared" si="0"/>
        <v/>
      </c>
      <c r="L20" s="10" t="str">
        <f t="shared" si="1"/>
        <v/>
      </c>
      <c r="M20" s="132"/>
      <c r="N20" s="135"/>
      <c r="O20" s="11" t="str">
        <f t="shared" si="2"/>
        <v/>
      </c>
      <c r="P20" s="12">
        <f t="shared" si="3"/>
        <v>4000</v>
      </c>
      <c r="Q20" s="132"/>
      <c r="R20" s="132"/>
      <c r="S20" s="132"/>
      <c r="T20" s="132"/>
      <c r="U20" s="13" t="str">
        <f>IFERROR(IF(AND(B20&lt;&gt;"",C20&lt;&gt;""),_xludf.DAYS(C20,B20),""),"—")</f>
        <v/>
      </c>
      <c r="V20" s="136"/>
      <c r="W20" s="137"/>
    </row>
    <row r="21" spans="1:23" ht="18" customHeight="1" x14ac:dyDescent="0.2">
      <c r="A21" s="9">
        <f>20</f>
        <v>20</v>
      </c>
      <c r="B21" s="131"/>
      <c r="C21" s="131"/>
      <c r="D21" s="132"/>
      <c r="E21" s="133"/>
      <c r="F21" s="132"/>
      <c r="G21" s="134"/>
      <c r="H21" s="134"/>
      <c r="I21" s="134"/>
      <c r="J21" s="134"/>
      <c r="K21" s="10" t="str">
        <f t="shared" si="0"/>
        <v/>
      </c>
      <c r="L21" s="10" t="str">
        <f t="shared" si="1"/>
        <v/>
      </c>
      <c r="M21" s="132"/>
      <c r="N21" s="135"/>
      <c r="O21" s="11" t="str">
        <f t="shared" si="2"/>
        <v/>
      </c>
      <c r="P21" s="12">
        <f t="shared" si="3"/>
        <v>4000</v>
      </c>
      <c r="Q21" s="132"/>
      <c r="R21" s="132"/>
      <c r="S21" s="132"/>
      <c r="T21" s="132"/>
      <c r="U21" s="13" t="str">
        <f>IFERROR(IF(AND(B21&lt;&gt;"",C21&lt;&gt;""),_xludf.DAYS(C21,B21),""),"—")</f>
        <v/>
      </c>
      <c r="V21" s="136"/>
      <c r="W21" s="137"/>
    </row>
    <row r="22" spans="1:23" ht="18" customHeight="1" x14ac:dyDescent="0.2">
      <c r="A22" s="9">
        <f>21</f>
        <v>21</v>
      </c>
      <c r="B22" s="131"/>
      <c r="C22" s="131"/>
      <c r="D22" s="132"/>
      <c r="E22" s="133"/>
      <c r="F22" s="132"/>
      <c r="G22" s="134"/>
      <c r="H22" s="134"/>
      <c r="I22" s="134"/>
      <c r="J22" s="134"/>
      <c r="K22" s="10" t="str">
        <f t="shared" si="0"/>
        <v/>
      </c>
      <c r="L22" s="10" t="str">
        <f t="shared" si="1"/>
        <v/>
      </c>
      <c r="M22" s="132"/>
      <c r="N22" s="135"/>
      <c r="O22" s="11" t="str">
        <f t="shared" si="2"/>
        <v/>
      </c>
      <c r="P22" s="12">
        <f t="shared" si="3"/>
        <v>4000</v>
      </c>
      <c r="Q22" s="132"/>
      <c r="R22" s="132"/>
      <c r="S22" s="132"/>
      <c r="T22" s="132"/>
      <c r="U22" s="13" t="str">
        <f>IFERROR(IF(AND(B22&lt;&gt;"",C22&lt;&gt;""),_xludf.DAYS(C22,B22),""),"—")</f>
        <v/>
      </c>
      <c r="V22" s="136"/>
      <c r="W22" s="137"/>
    </row>
    <row r="23" spans="1:23" ht="18" customHeight="1" x14ac:dyDescent="0.2">
      <c r="A23" s="9">
        <f>22</f>
        <v>22</v>
      </c>
      <c r="B23" s="131"/>
      <c r="C23" s="131"/>
      <c r="D23" s="132"/>
      <c r="E23" s="133"/>
      <c r="F23" s="132"/>
      <c r="G23" s="134"/>
      <c r="H23" s="134"/>
      <c r="I23" s="134"/>
      <c r="J23" s="134"/>
      <c r="K23" s="10" t="str">
        <f t="shared" si="0"/>
        <v/>
      </c>
      <c r="L23" s="10" t="str">
        <f t="shared" si="1"/>
        <v/>
      </c>
      <c r="M23" s="132"/>
      <c r="N23" s="135"/>
      <c r="O23" s="11" t="str">
        <f t="shared" si="2"/>
        <v/>
      </c>
      <c r="P23" s="12">
        <f t="shared" si="3"/>
        <v>4000</v>
      </c>
      <c r="Q23" s="132"/>
      <c r="R23" s="132"/>
      <c r="S23" s="132"/>
      <c r="T23" s="132"/>
      <c r="U23" s="13" t="str">
        <f>IFERROR(IF(AND(B23&lt;&gt;"",C23&lt;&gt;""),_xludf.DAYS(C23,B23),""),"—")</f>
        <v/>
      </c>
      <c r="V23" s="136"/>
      <c r="W23" s="137"/>
    </row>
    <row r="24" spans="1:23" ht="18" customHeight="1" x14ac:dyDescent="0.2">
      <c r="A24" s="9">
        <f>23</f>
        <v>23</v>
      </c>
      <c r="B24" s="131"/>
      <c r="C24" s="131"/>
      <c r="D24" s="132"/>
      <c r="E24" s="133"/>
      <c r="F24" s="132"/>
      <c r="G24" s="134"/>
      <c r="H24" s="134"/>
      <c r="I24" s="134"/>
      <c r="J24" s="134"/>
      <c r="K24" s="10" t="str">
        <f t="shared" si="0"/>
        <v/>
      </c>
      <c r="L24" s="10" t="str">
        <f t="shared" si="1"/>
        <v/>
      </c>
      <c r="M24" s="132"/>
      <c r="N24" s="135"/>
      <c r="O24" s="11" t="str">
        <f t="shared" si="2"/>
        <v/>
      </c>
      <c r="P24" s="12">
        <f t="shared" si="3"/>
        <v>4000</v>
      </c>
      <c r="Q24" s="132"/>
      <c r="R24" s="132"/>
      <c r="S24" s="132"/>
      <c r="T24" s="132"/>
      <c r="U24" s="13" t="str">
        <f>IFERROR(IF(AND(B24&lt;&gt;"",C24&lt;&gt;""),_xludf.DAYS(C24,B24),""),"—")</f>
        <v/>
      </c>
      <c r="V24" s="136"/>
      <c r="W24" s="137"/>
    </row>
    <row r="25" spans="1:23" ht="18" customHeight="1" x14ac:dyDescent="0.2">
      <c r="A25" s="9">
        <f>24</f>
        <v>24</v>
      </c>
      <c r="B25" s="131"/>
      <c r="C25" s="131"/>
      <c r="D25" s="132"/>
      <c r="E25" s="133"/>
      <c r="F25" s="132"/>
      <c r="G25" s="134"/>
      <c r="H25" s="134"/>
      <c r="I25" s="134"/>
      <c r="J25" s="134"/>
      <c r="K25" s="10" t="str">
        <f t="shared" si="0"/>
        <v/>
      </c>
      <c r="L25" s="10" t="str">
        <f t="shared" si="1"/>
        <v/>
      </c>
      <c r="M25" s="132"/>
      <c r="N25" s="135"/>
      <c r="O25" s="11" t="str">
        <f t="shared" si="2"/>
        <v/>
      </c>
      <c r="P25" s="12">
        <f t="shared" si="3"/>
        <v>4000</v>
      </c>
      <c r="Q25" s="132"/>
      <c r="R25" s="132"/>
      <c r="S25" s="132"/>
      <c r="T25" s="132"/>
      <c r="U25" s="13" t="str">
        <f>IFERROR(IF(AND(B25&lt;&gt;"",C25&lt;&gt;""),_xludf.DAYS(C25,B25),""),"—")</f>
        <v/>
      </c>
      <c r="V25" s="136"/>
      <c r="W25" s="137"/>
    </row>
    <row r="26" spans="1:23" ht="18" customHeight="1" x14ac:dyDescent="0.2">
      <c r="A26" s="9">
        <f>25</f>
        <v>25</v>
      </c>
      <c r="B26" s="131"/>
      <c r="C26" s="131"/>
      <c r="D26" s="132"/>
      <c r="E26" s="133"/>
      <c r="F26" s="132"/>
      <c r="G26" s="134"/>
      <c r="H26" s="134"/>
      <c r="I26" s="134"/>
      <c r="J26" s="134"/>
      <c r="K26" s="10" t="str">
        <f t="shared" si="0"/>
        <v/>
      </c>
      <c r="L26" s="10" t="str">
        <f t="shared" si="1"/>
        <v/>
      </c>
      <c r="M26" s="132"/>
      <c r="N26" s="135"/>
      <c r="O26" s="11" t="str">
        <f t="shared" si="2"/>
        <v/>
      </c>
      <c r="P26" s="12">
        <f t="shared" si="3"/>
        <v>4000</v>
      </c>
      <c r="Q26" s="132"/>
      <c r="R26" s="132"/>
      <c r="S26" s="132"/>
      <c r="T26" s="132"/>
      <c r="U26" s="13" t="str">
        <f>IFERROR(IF(AND(B26&lt;&gt;"",C26&lt;&gt;""),_xludf.DAYS(C26,B26),""),"—")</f>
        <v/>
      </c>
      <c r="V26" s="136"/>
      <c r="W26" s="137"/>
    </row>
    <row r="27" spans="1:23" ht="18" customHeight="1" x14ac:dyDescent="0.2">
      <c r="A27" s="9">
        <f>26</f>
        <v>26</v>
      </c>
      <c r="B27" s="131"/>
      <c r="C27" s="131"/>
      <c r="D27" s="132"/>
      <c r="E27" s="133"/>
      <c r="F27" s="132"/>
      <c r="G27" s="134"/>
      <c r="H27" s="134"/>
      <c r="I27" s="134"/>
      <c r="J27" s="134"/>
      <c r="K27" s="10" t="str">
        <f t="shared" si="0"/>
        <v/>
      </c>
      <c r="L27" s="10" t="str">
        <f t="shared" si="1"/>
        <v/>
      </c>
      <c r="M27" s="132"/>
      <c r="N27" s="135"/>
      <c r="O27" s="11" t="str">
        <f t="shared" si="2"/>
        <v/>
      </c>
      <c r="P27" s="12">
        <f t="shared" si="3"/>
        <v>4000</v>
      </c>
      <c r="Q27" s="132"/>
      <c r="R27" s="132"/>
      <c r="S27" s="132"/>
      <c r="T27" s="132"/>
      <c r="U27" s="13" t="str">
        <f>IFERROR(IF(AND(B27&lt;&gt;"",C27&lt;&gt;""),_xludf.DAYS(C27,B27),""),"—")</f>
        <v/>
      </c>
      <c r="V27" s="136"/>
      <c r="W27" s="137"/>
    </row>
    <row r="28" spans="1:23" ht="18" customHeight="1" x14ac:dyDescent="0.2">
      <c r="A28" s="9">
        <f>27</f>
        <v>27</v>
      </c>
      <c r="B28" s="131"/>
      <c r="C28" s="131"/>
      <c r="D28" s="132"/>
      <c r="E28" s="133"/>
      <c r="F28" s="132"/>
      <c r="G28" s="134"/>
      <c r="H28" s="134"/>
      <c r="I28" s="134"/>
      <c r="J28" s="134"/>
      <c r="K28" s="10" t="str">
        <f t="shared" si="0"/>
        <v/>
      </c>
      <c r="L28" s="10" t="str">
        <f t="shared" si="1"/>
        <v/>
      </c>
      <c r="M28" s="132"/>
      <c r="N28" s="135"/>
      <c r="O28" s="11" t="str">
        <f t="shared" si="2"/>
        <v/>
      </c>
      <c r="P28" s="12">
        <f t="shared" si="3"/>
        <v>4000</v>
      </c>
      <c r="Q28" s="132"/>
      <c r="R28" s="132"/>
      <c r="S28" s="132"/>
      <c r="T28" s="132"/>
      <c r="U28" s="13" t="str">
        <f>IFERROR(IF(AND(B28&lt;&gt;"",C28&lt;&gt;""),_xludf.DAYS(C28,B28),""),"—")</f>
        <v/>
      </c>
      <c r="V28" s="136"/>
      <c r="W28" s="137"/>
    </row>
    <row r="29" spans="1:23" ht="18" customHeight="1" x14ac:dyDescent="0.2">
      <c r="A29" s="9">
        <f>28</f>
        <v>28</v>
      </c>
      <c r="B29" s="131"/>
      <c r="C29" s="131"/>
      <c r="D29" s="132"/>
      <c r="E29" s="133"/>
      <c r="F29" s="132"/>
      <c r="G29" s="134"/>
      <c r="H29" s="134"/>
      <c r="I29" s="134"/>
      <c r="J29" s="134"/>
      <c r="K29" s="10" t="str">
        <f t="shared" si="0"/>
        <v/>
      </c>
      <c r="L29" s="10" t="str">
        <f t="shared" si="1"/>
        <v/>
      </c>
      <c r="M29" s="132"/>
      <c r="N29" s="135"/>
      <c r="O29" s="11" t="str">
        <f t="shared" si="2"/>
        <v/>
      </c>
      <c r="P29" s="12">
        <f t="shared" si="3"/>
        <v>4000</v>
      </c>
      <c r="Q29" s="132"/>
      <c r="R29" s="132"/>
      <c r="S29" s="132"/>
      <c r="T29" s="132"/>
      <c r="U29" s="13" t="str">
        <f>IFERROR(IF(AND(B29&lt;&gt;"",C29&lt;&gt;""),_xludf.DAYS(C29,B29),""),"—")</f>
        <v/>
      </c>
      <c r="V29" s="136"/>
      <c r="W29" s="137"/>
    </row>
    <row r="30" spans="1:23" ht="18" customHeight="1" x14ac:dyDescent="0.2">
      <c r="A30" s="9">
        <f>29</f>
        <v>29</v>
      </c>
      <c r="B30" s="131"/>
      <c r="C30" s="131"/>
      <c r="D30" s="132"/>
      <c r="E30" s="133"/>
      <c r="F30" s="132"/>
      <c r="G30" s="134"/>
      <c r="H30" s="134"/>
      <c r="I30" s="134"/>
      <c r="J30" s="134"/>
      <c r="K30" s="10" t="str">
        <f t="shared" si="0"/>
        <v/>
      </c>
      <c r="L30" s="10" t="str">
        <f t="shared" si="1"/>
        <v/>
      </c>
      <c r="M30" s="132"/>
      <c r="N30" s="135"/>
      <c r="O30" s="11" t="str">
        <f t="shared" si="2"/>
        <v/>
      </c>
      <c r="P30" s="12">
        <f t="shared" si="3"/>
        <v>4000</v>
      </c>
      <c r="Q30" s="132"/>
      <c r="R30" s="132"/>
      <c r="S30" s="132"/>
      <c r="T30" s="132"/>
      <c r="U30" s="13" t="str">
        <f>IFERROR(IF(AND(B30&lt;&gt;"",C30&lt;&gt;""),_xludf.DAYS(C30,B30),""),"—")</f>
        <v/>
      </c>
      <c r="V30" s="136"/>
      <c r="W30" s="137"/>
    </row>
    <row r="31" spans="1:23" ht="18" customHeight="1" x14ac:dyDescent="0.2">
      <c r="A31" s="9">
        <f>30</f>
        <v>30</v>
      </c>
      <c r="B31" s="131"/>
      <c r="C31" s="131"/>
      <c r="D31" s="132"/>
      <c r="E31" s="133"/>
      <c r="F31" s="132"/>
      <c r="G31" s="134"/>
      <c r="H31" s="134"/>
      <c r="I31" s="134"/>
      <c r="J31" s="134"/>
      <c r="K31" s="10" t="str">
        <f t="shared" si="0"/>
        <v/>
      </c>
      <c r="L31" s="10" t="str">
        <f t="shared" si="1"/>
        <v/>
      </c>
      <c r="M31" s="132"/>
      <c r="N31" s="135"/>
      <c r="O31" s="11" t="str">
        <f t="shared" si="2"/>
        <v/>
      </c>
      <c r="P31" s="12">
        <f t="shared" si="3"/>
        <v>4000</v>
      </c>
      <c r="Q31" s="132"/>
      <c r="R31" s="132"/>
      <c r="S31" s="132"/>
      <c r="T31" s="132"/>
      <c r="U31" s="13" t="str">
        <f>IFERROR(IF(AND(B31&lt;&gt;"",C31&lt;&gt;""),_xludf.DAYS(C31,B31),""),"—")</f>
        <v/>
      </c>
      <c r="V31" s="136"/>
      <c r="W31" s="137"/>
    </row>
    <row r="32" spans="1:23" ht="18" customHeight="1" x14ac:dyDescent="0.2">
      <c r="A32" s="9">
        <f>31</f>
        <v>31</v>
      </c>
      <c r="B32" s="131"/>
      <c r="C32" s="131"/>
      <c r="D32" s="132"/>
      <c r="E32" s="133"/>
      <c r="F32" s="132"/>
      <c r="G32" s="134"/>
      <c r="H32" s="134"/>
      <c r="I32" s="134"/>
      <c r="J32" s="134"/>
      <c r="K32" s="10" t="str">
        <f t="shared" si="0"/>
        <v/>
      </c>
      <c r="L32" s="10" t="str">
        <f t="shared" si="1"/>
        <v/>
      </c>
      <c r="M32" s="132"/>
      <c r="N32" s="135"/>
      <c r="O32" s="11" t="str">
        <f t="shared" si="2"/>
        <v/>
      </c>
      <c r="P32" s="12">
        <f t="shared" si="3"/>
        <v>4000</v>
      </c>
      <c r="Q32" s="132"/>
      <c r="R32" s="132"/>
      <c r="S32" s="132"/>
      <c r="T32" s="132"/>
      <c r="U32" s="13" t="str">
        <f>IFERROR(IF(AND(B32&lt;&gt;"",C32&lt;&gt;""),_xludf.DAYS(C32,B32),""),"—")</f>
        <v/>
      </c>
      <c r="V32" s="136"/>
      <c r="W32" s="137"/>
    </row>
    <row r="33" spans="1:23" ht="18" customHeight="1" x14ac:dyDescent="0.2">
      <c r="A33" s="9">
        <f>32</f>
        <v>32</v>
      </c>
      <c r="B33" s="131"/>
      <c r="C33" s="131"/>
      <c r="D33" s="132"/>
      <c r="E33" s="133"/>
      <c r="F33" s="132"/>
      <c r="G33" s="134"/>
      <c r="H33" s="134"/>
      <c r="I33" s="134"/>
      <c r="J33" s="134"/>
      <c r="K33" s="10" t="str">
        <f t="shared" si="0"/>
        <v/>
      </c>
      <c r="L33" s="10" t="str">
        <f t="shared" si="1"/>
        <v/>
      </c>
      <c r="M33" s="132"/>
      <c r="N33" s="135"/>
      <c r="O33" s="11" t="str">
        <f t="shared" si="2"/>
        <v/>
      </c>
      <c r="P33" s="12">
        <f t="shared" si="3"/>
        <v>4000</v>
      </c>
      <c r="Q33" s="132"/>
      <c r="R33" s="132"/>
      <c r="S33" s="132"/>
      <c r="T33" s="132"/>
      <c r="U33" s="13" t="str">
        <f>IFERROR(IF(AND(B33&lt;&gt;"",C33&lt;&gt;""),_xludf.DAYS(C33,B33),""),"—")</f>
        <v/>
      </c>
      <c r="V33" s="136"/>
      <c r="W33" s="137"/>
    </row>
    <row r="34" spans="1:23" ht="18" customHeight="1" x14ac:dyDescent="0.2">
      <c r="A34" s="9">
        <f>33</f>
        <v>33</v>
      </c>
      <c r="B34" s="131"/>
      <c r="C34" s="131"/>
      <c r="D34" s="132"/>
      <c r="E34" s="133"/>
      <c r="F34" s="132"/>
      <c r="G34" s="134"/>
      <c r="H34" s="134"/>
      <c r="I34" s="134"/>
      <c r="J34" s="134"/>
      <c r="K34" s="10" t="str">
        <f t="shared" ref="K34:K65" si="4">IFERROR(IF(F34="Mua",(I34-G34)/(G34-H34),(G34-I34)/(H34-G34)),"")</f>
        <v/>
      </c>
      <c r="L34" s="10" t="str">
        <f t="shared" ref="L34:L65" si="5">IFERROR(IF(F34="Mua",(J34-G34)/(G34-H34),(G34-J34)/(H34-G34)),"")</f>
        <v/>
      </c>
      <c r="M34" s="132"/>
      <c r="N34" s="135"/>
      <c r="O34" s="11" t="str">
        <f t="shared" si="2"/>
        <v/>
      </c>
      <c r="P34" s="12">
        <f t="shared" si="3"/>
        <v>4000</v>
      </c>
      <c r="Q34" s="132"/>
      <c r="R34" s="132"/>
      <c r="S34" s="132"/>
      <c r="T34" s="132"/>
      <c r="U34" s="13" t="str">
        <f>IFERROR(IF(AND(B34&lt;&gt;"",C34&lt;&gt;""),_xludf.DAYS(C34,B34),""),"—")</f>
        <v/>
      </c>
      <c r="V34" s="136"/>
      <c r="W34" s="137"/>
    </row>
    <row r="35" spans="1:23" ht="18" customHeight="1" x14ac:dyDescent="0.2">
      <c r="A35" s="9">
        <f>34</f>
        <v>34</v>
      </c>
      <c r="B35" s="131"/>
      <c r="C35" s="131"/>
      <c r="D35" s="132"/>
      <c r="E35" s="133"/>
      <c r="F35" s="132"/>
      <c r="G35" s="134"/>
      <c r="H35" s="134"/>
      <c r="I35" s="134"/>
      <c r="J35" s="134"/>
      <c r="K35" s="10" t="str">
        <f t="shared" si="4"/>
        <v/>
      </c>
      <c r="L35" s="10" t="str">
        <f t="shared" si="5"/>
        <v/>
      </c>
      <c r="M35" s="132"/>
      <c r="N35" s="135"/>
      <c r="O35" s="11" t="str">
        <f t="shared" ref="O35:O66" si="6">IFERROR(IF(N35&lt;&gt;"",N35/P34,""),"")</f>
        <v/>
      </c>
      <c r="P35" s="12">
        <f t="shared" ref="P35:P66" si="7">IF(N35&lt;&gt;"",P34+N35,P34)</f>
        <v>4000</v>
      </c>
      <c r="Q35" s="132"/>
      <c r="R35" s="132"/>
      <c r="S35" s="132"/>
      <c r="T35" s="132"/>
      <c r="U35" s="13" t="str">
        <f>IFERROR(IF(AND(B35&lt;&gt;"",C35&lt;&gt;""),_xludf.DAYS(C35,B35),""),"—")</f>
        <v/>
      </c>
      <c r="V35" s="136"/>
      <c r="W35" s="137"/>
    </row>
    <row r="36" spans="1:23" ht="18" customHeight="1" x14ac:dyDescent="0.2">
      <c r="A36" s="9">
        <f>35</f>
        <v>35</v>
      </c>
      <c r="B36" s="131"/>
      <c r="C36" s="131"/>
      <c r="D36" s="132"/>
      <c r="E36" s="133"/>
      <c r="F36" s="132"/>
      <c r="G36" s="134"/>
      <c r="H36" s="134"/>
      <c r="I36" s="134"/>
      <c r="J36" s="134"/>
      <c r="K36" s="10" t="str">
        <f t="shared" si="4"/>
        <v/>
      </c>
      <c r="L36" s="10" t="str">
        <f t="shared" si="5"/>
        <v/>
      </c>
      <c r="M36" s="132"/>
      <c r="N36" s="135"/>
      <c r="O36" s="11" t="str">
        <f t="shared" si="6"/>
        <v/>
      </c>
      <c r="P36" s="12">
        <f t="shared" si="7"/>
        <v>4000</v>
      </c>
      <c r="Q36" s="132"/>
      <c r="R36" s="132"/>
      <c r="S36" s="132"/>
      <c r="T36" s="132"/>
      <c r="U36" s="13" t="str">
        <f>IFERROR(IF(AND(B36&lt;&gt;"",C36&lt;&gt;""),_xludf.DAYS(C36,B36),""),"—")</f>
        <v/>
      </c>
      <c r="V36" s="136"/>
      <c r="W36" s="137"/>
    </row>
    <row r="37" spans="1:23" ht="18" customHeight="1" x14ac:dyDescent="0.2">
      <c r="A37" s="9">
        <f>36</f>
        <v>36</v>
      </c>
      <c r="B37" s="131"/>
      <c r="C37" s="131"/>
      <c r="D37" s="132"/>
      <c r="E37" s="133"/>
      <c r="F37" s="132"/>
      <c r="G37" s="134"/>
      <c r="H37" s="134"/>
      <c r="I37" s="134"/>
      <c r="J37" s="134"/>
      <c r="K37" s="10" t="str">
        <f t="shared" si="4"/>
        <v/>
      </c>
      <c r="L37" s="10" t="str">
        <f t="shared" si="5"/>
        <v/>
      </c>
      <c r="M37" s="132"/>
      <c r="N37" s="135"/>
      <c r="O37" s="11" t="str">
        <f t="shared" si="6"/>
        <v/>
      </c>
      <c r="P37" s="12">
        <f t="shared" si="7"/>
        <v>4000</v>
      </c>
      <c r="Q37" s="132"/>
      <c r="R37" s="132"/>
      <c r="S37" s="132"/>
      <c r="T37" s="132"/>
      <c r="U37" s="13" t="str">
        <f>IFERROR(IF(AND(B37&lt;&gt;"",C37&lt;&gt;""),_xludf.DAYS(C37,B37),""),"—")</f>
        <v/>
      </c>
      <c r="V37" s="136"/>
      <c r="W37" s="137"/>
    </row>
    <row r="38" spans="1:23" ht="18" customHeight="1" x14ac:dyDescent="0.2">
      <c r="A38" s="9">
        <f>37</f>
        <v>37</v>
      </c>
      <c r="B38" s="131"/>
      <c r="C38" s="131"/>
      <c r="D38" s="132"/>
      <c r="E38" s="133"/>
      <c r="F38" s="132"/>
      <c r="G38" s="134"/>
      <c r="H38" s="134"/>
      <c r="I38" s="134"/>
      <c r="J38" s="134"/>
      <c r="K38" s="10" t="str">
        <f t="shared" si="4"/>
        <v/>
      </c>
      <c r="L38" s="10" t="str">
        <f t="shared" si="5"/>
        <v/>
      </c>
      <c r="M38" s="132"/>
      <c r="N38" s="135"/>
      <c r="O38" s="11" t="str">
        <f t="shared" si="6"/>
        <v/>
      </c>
      <c r="P38" s="12">
        <f t="shared" si="7"/>
        <v>4000</v>
      </c>
      <c r="Q38" s="132"/>
      <c r="R38" s="132"/>
      <c r="S38" s="132"/>
      <c r="T38" s="132"/>
      <c r="U38" s="13" t="str">
        <f>IFERROR(IF(AND(B38&lt;&gt;"",C38&lt;&gt;""),_xludf.DAYS(C38,B38),""),"—")</f>
        <v/>
      </c>
      <c r="V38" s="136"/>
      <c r="W38" s="137"/>
    </row>
    <row r="39" spans="1:23" ht="18" customHeight="1" x14ac:dyDescent="0.2">
      <c r="A39" s="9">
        <f>38</f>
        <v>38</v>
      </c>
      <c r="B39" s="131"/>
      <c r="C39" s="131"/>
      <c r="D39" s="132"/>
      <c r="E39" s="133"/>
      <c r="F39" s="132"/>
      <c r="G39" s="134"/>
      <c r="H39" s="134"/>
      <c r="I39" s="134"/>
      <c r="J39" s="134"/>
      <c r="K39" s="10" t="str">
        <f t="shared" si="4"/>
        <v/>
      </c>
      <c r="L39" s="10" t="str">
        <f t="shared" si="5"/>
        <v/>
      </c>
      <c r="M39" s="132"/>
      <c r="N39" s="135"/>
      <c r="O39" s="11" t="str">
        <f t="shared" si="6"/>
        <v/>
      </c>
      <c r="P39" s="12">
        <f t="shared" si="7"/>
        <v>4000</v>
      </c>
      <c r="Q39" s="132"/>
      <c r="R39" s="132"/>
      <c r="S39" s="132"/>
      <c r="T39" s="132"/>
      <c r="U39" s="13" t="str">
        <f>IFERROR(IF(AND(B39&lt;&gt;"",C39&lt;&gt;""),_xludf.DAYS(C39,B39),""),"—")</f>
        <v/>
      </c>
      <c r="V39" s="136"/>
      <c r="W39" s="137"/>
    </row>
    <row r="40" spans="1:23" ht="18" customHeight="1" x14ac:dyDescent="0.2">
      <c r="A40" s="9">
        <f>39</f>
        <v>39</v>
      </c>
      <c r="B40" s="131"/>
      <c r="C40" s="131"/>
      <c r="D40" s="132"/>
      <c r="E40" s="133"/>
      <c r="F40" s="132"/>
      <c r="G40" s="134"/>
      <c r="H40" s="134"/>
      <c r="I40" s="134"/>
      <c r="J40" s="134"/>
      <c r="K40" s="10" t="str">
        <f t="shared" si="4"/>
        <v/>
      </c>
      <c r="L40" s="10" t="str">
        <f t="shared" si="5"/>
        <v/>
      </c>
      <c r="M40" s="132"/>
      <c r="N40" s="135"/>
      <c r="O40" s="11" t="str">
        <f t="shared" si="6"/>
        <v/>
      </c>
      <c r="P40" s="12">
        <f t="shared" si="7"/>
        <v>4000</v>
      </c>
      <c r="Q40" s="132"/>
      <c r="R40" s="132"/>
      <c r="S40" s="132"/>
      <c r="T40" s="132"/>
      <c r="U40" s="13" t="str">
        <f>IFERROR(IF(AND(B40&lt;&gt;"",C40&lt;&gt;""),_xludf.DAYS(C40,B40),""),"—")</f>
        <v/>
      </c>
      <c r="V40" s="136"/>
      <c r="W40" s="137"/>
    </row>
    <row r="41" spans="1:23" ht="18" customHeight="1" x14ac:dyDescent="0.2">
      <c r="A41" s="9">
        <f>40</f>
        <v>40</v>
      </c>
      <c r="B41" s="131"/>
      <c r="C41" s="131"/>
      <c r="D41" s="132"/>
      <c r="E41" s="133"/>
      <c r="F41" s="132"/>
      <c r="G41" s="134"/>
      <c r="H41" s="134"/>
      <c r="I41" s="134"/>
      <c r="J41" s="134"/>
      <c r="K41" s="10" t="str">
        <f t="shared" si="4"/>
        <v/>
      </c>
      <c r="L41" s="10" t="str">
        <f t="shared" si="5"/>
        <v/>
      </c>
      <c r="M41" s="132"/>
      <c r="N41" s="135"/>
      <c r="O41" s="11" t="str">
        <f t="shared" si="6"/>
        <v/>
      </c>
      <c r="P41" s="12">
        <f t="shared" si="7"/>
        <v>4000</v>
      </c>
      <c r="Q41" s="132"/>
      <c r="R41" s="132"/>
      <c r="S41" s="132"/>
      <c r="T41" s="132"/>
      <c r="U41" s="13" t="str">
        <f>IFERROR(IF(AND(B41&lt;&gt;"",C41&lt;&gt;""),_xludf.DAYS(C41,B41),""),"—")</f>
        <v/>
      </c>
      <c r="V41" s="136"/>
      <c r="W41" s="137"/>
    </row>
    <row r="42" spans="1:23" ht="18" customHeight="1" x14ac:dyDescent="0.2">
      <c r="A42" s="9">
        <f>41</f>
        <v>41</v>
      </c>
      <c r="B42" s="131"/>
      <c r="C42" s="131"/>
      <c r="D42" s="132"/>
      <c r="E42" s="133"/>
      <c r="F42" s="132"/>
      <c r="G42" s="134"/>
      <c r="H42" s="134"/>
      <c r="I42" s="134"/>
      <c r="J42" s="134"/>
      <c r="K42" s="10" t="str">
        <f t="shared" si="4"/>
        <v/>
      </c>
      <c r="L42" s="10" t="str">
        <f t="shared" si="5"/>
        <v/>
      </c>
      <c r="M42" s="132"/>
      <c r="N42" s="135"/>
      <c r="O42" s="11" t="str">
        <f t="shared" si="6"/>
        <v/>
      </c>
      <c r="P42" s="12">
        <f t="shared" si="7"/>
        <v>4000</v>
      </c>
      <c r="Q42" s="132"/>
      <c r="R42" s="132"/>
      <c r="S42" s="132"/>
      <c r="T42" s="132"/>
      <c r="U42" s="13" t="str">
        <f>IFERROR(IF(AND(B42&lt;&gt;"",C42&lt;&gt;""),_xludf.DAYS(C42,B42),""),"—")</f>
        <v/>
      </c>
      <c r="V42" s="136"/>
      <c r="W42" s="137"/>
    </row>
    <row r="43" spans="1:23" ht="18" customHeight="1" x14ac:dyDescent="0.2">
      <c r="A43" s="9">
        <f>42</f>
        <v>42</v>
      </c>
      <c r="B43" s="131"/>
      <c r="C43" s="131"/>
      <c r="D43" s="132"/>
      <c r="E43" s="133"/>
      <c r="F43" s="132"/>
      <c r="G43" s="134"/>
      <c r="H43" s="134"/>
      <c r="I43" s="134"/>
      <c r="J43" s="134"/>
      <c r="K43" s="10" t="str">
        <f t="shared" si="4"/>
        <v/>
      </c>
      <c r="L43" s="10" t="str">
        <f t="shared" si="5"/>
        <v/>
      </c>
      <c r="M43" s="132"/>
      <c r="N43" s="135"/>
      <c r="O43" s="11" t="str">
        <f t="shared" si="6"/>
        <v/>
      </c>
      <c r="P43" s="12">
        <f t="shared" si="7"/>
        <v>4000</v>
      </c>
      <c r="Q43" s="132"/>
      <c r="R43" s="132"/>
      <c r="S43" s="132"/>
      <c r="T43" s="132"/>
      <c r="U43" s="13" t="str">
        <f>IFERROR(IF(AND(B43&lt;&gt;"",C43&lt;&gt;""),_xludf.DAYS(C43,B43),""),"—")</f>
        <v/>
      </c>
      <c r="V43" s="136"/>
      <c r="W43" s="137"/>
    </row>
    <row r="44" spans="1:23" ht="18" customHeight="1" x14ac:dyDescent="0.2">
      <c r="A44" s="9">
        <f>43</f>
        <v>43</v>
      </c>
      <c r="B44" s="131"/>
      <c r="C44" s="131"/>
      <c r="D44" s="132"/>
      <c r="E44" s="133"/>
      <c r="F44" s="132"/>
      <c r="G44" s="134"/>
      <c r="H44" s="134"/>
      <c r="I44" s="134"/>
      <c r="J44" s="134"/>
      <c r="K44" s="10" t="str">
        <f t="shared" si="4"/>
        <v/>
      </c>
      <c r="L44" s="10" t="str">
        <f t="shared" si="5"/>
        <v/>
      </c>
      <c r="M44" s="132"/>
      <c r="N44" s="135"/>
      <c r="O44" s="11" t="str">
        <f t="shared" si="6"/>
        <v/>
      </c>
      <c r="P44" s="12">
        <f t="shared" si="7"/>
        <v>4000</v>
      </c>
      <c r="Q44" s="132"/>
      <c r="R44" s="132"/>
      <c r="S44" s="132"/>
      <c r="T44" s="132"/>
      <c r="U44" s="13" t="str">
        <f>IFERROR(IF(AND(B44&lt;&gt;"",C44&lt;&gt;""),_xludf.DAYS(C44,B44),""),"—")</f>
        <v/>
      </c>
      <c r="V44" s="136"/>
      <c r="W44" s="137"/>
    </row>
    <row r="45" spans="1:23" ht="18" customHeight="1" x14ac:dyDescent="0.2">
      <c r="A45" s="9">
        <f>44</f>
        <v>44</v>
      </c>
      <c r="B45" s="131"/>
      <c r="C45" s="131"/>
      <c r="D45" s="132"/>
      <c r="E45" s="133"/>
      <c r="F45" s="132"/>
      <c r="G45" s="134"/>
      <c r="H45" s="134"/>
      <c r="I45" s="134"/>
      <c r="J45" s="134"/>
      <c r="K45" s="10" t="str">
        <f t="shared" si="4"/>
        <v/>
      </c>
      <c r="L45" s="10" t="str">
        <f t="shared" si="5"/>
        <v/>
      </c>
      <c r="M45" s="132"/>
      <c r="N45" s="135"/>
      <c r="O45" s="11" t="str">
        <f t="shared" si="6"/>
        <v/>
      </c>
      <c r="P45" s="12">
        <f t="shared" si="7"/>
        <v>4000</v>
      </c>
      <c r="Q45" s="132"/>
      <c r="R45" s="132"/>
      <c r="S45" s="132"/>
      <c r="T45" s="132"/>
      <c r="U45" s="13" t="str">
        <f>IFERROR(IF(AND(B45&lt;&gt;"",C45&lt;&gt;""),_xludf.DAYS(C45,B45),""),"—")</f>
        <v/>
      </c>
      <c r="V45" s="136"/>
      <c r="W45" s="137"/>
    </row>
    <row r="46" spans="1:23" ht="18" customHeight="1" x14ac:dyDescent="0.2">
      <c r="A46" s="9">
        <f>45</f>
        <v>45</v>
      </c>
      <c r="B46" s="131"/>
      <c r="C46" s="131"/>
      <c r="D46" s="132"/>
      <c r="E46" s="133"/>
      <c r="F46" s="132"/>
      <c r="G46" s="134"/>
      <c r="H46" s="134"/>
      <c r="I46" s="134"/>
      <c r="J46" s="134"/>
      <c r="K46" s="10" t="str">
        <f t="shared" si="4"/>
        <v/>
      </c>
      <c r="L46" s="10" t="str">
        <f t="shared" si="5"/>
        <v/>
      </c>
      <c r="M46" s="132"/>
      <c r="N46" s="135"/>
      <c r="O46" s="11" t="str">
        <f t="shared" si="6"/>
        <v/>
      </c>
      <c r="P46" s="12">
        <f t="shared" si="7"/>
        <v>4000</v>
      </c>
      <c r="Q46" s="132"/>
      <c r="R46" s="132"/>
      <c r="S46" s="132"/>
      <c r="T46" s="132"/>
      <c r="U46" s="13" t="str">
        <f>IFERROR(IF(AND(B46&lt;&gt;"",C46&lt;&gt;""),_xludf.DAYS(C46,B46),""),"—")</f>
        <v/>
      </c>
      <c r="V46" s="136"/>
      <c r="W46" s="137"/>
    </row>
    <row r="47" spans="1:23" ht="18" customHeight="1" x14ac:dyDescent="0.2">
      <c r="A47" s="9">
        <f>46</f>
        <v>46</v>
      </c>
      <c r="B47" s="131"/>
      <c r="C47" s="131"/>
      <c r="D47" s="132"/>
      <c r="E47" s="133"/>
      <c r="F47" s="132"/>
      <c r="G47" s="134"/>
      <c r="H47" s="134"/>
      <c r="I47" s="134"/>
      <c r="J47" s="134"/>
      <c r="K47" s="10" t="str">
        <f t="shared" si="4"/>
        <v/>
      </c>
      <c r="L47" s="10" t="str">
        <f t="shared" si="5"/>
        <v/>
      </c>
      <c r="M47" s="132"/>
      <c r="N47" s="135"/>
      <c r="O47" s="11" t="str">
        <f t="shared" si="6"/>
        <v/>
      </c>
      <c r="P47" s="12">
        <f t="shared" si="7"/>
        <v>4000</v>
      </c>
      <c r="Q47" s="132"/>
      <c r="R47" s="132"/>
      <c r="S47" s="132"/>
      <c r="T47" s="132"/>
      <c r="U47" s="13" t="str">
        <f>IFERROR(IF(AND(B47&lt;&gt;"",C47&lt;&gt;""),_xludf.DAYS(C47,B47),""),"—")</f>
        <v/>
      </c>
      <c r="V47" s="136"/>
      <c r="W47" s="137"/>
    </row>
    <row r="48" spans="1:23" ht="18" customHeight="1" x14ac:dyDescent="0.2">
      <c r="A48" s="9">
        <f>47</f>
        <v>47</v>
      </c>
      <c r="B48" s="131"/>
      <c r="C48" s="131"/>
      <c r="D48" s="132"/>
      <c r="E48" s="133"/>
      <c r="F48" s="132"/>
      <c r="G48" s="134"/>
      <c r="H48" s="134"/>
      <c r="I48" s="134"/>
      <c r="J48" s="134"/>
      <c r="K48" s="10" t="str">
        <f t="shared" si="4"/>
        <v/>
      </c>
      <c r="L48" s="10" t="str">
        <f t="shared" si="5"/>
        <v/>
      </c>
      <c r="M48" s="132"/>
      <c r="N48" s="135"/>
      <c r="O48" s="11" t="str">
        <f t="shared" si="6"/>
        <v/>
      </c>
      <c r="P48" s="12">
        <f t="shared" si="7"/>
        <v>4000</v>
      </c>
      <c r="Q48" s="132"/>
      <c r="R48" s="132"/>
      <c r="S48" s="132"/>
      <c r="T48" s="132"/>
      <c r="U48" s="13" t="str">
        <f>IFERROR(IF(AND(B48&lt;&gt;"",C48&lt;&gt;""),_xludf.DAYS(C48,B48),""),"—")</f>
        <v/>
      </c>
      <c r="V48" s="136"/>
      <c r="W48" s="137"/>
    </row>
    <row r="49" spans="1:23" ht="18" customHeight="1" x14ac:dyDescent="0.2">
      <c r="A49" s="9">
        <f>48</f>
        <v>48</v>
      </c>
      <c r="B49" s="131"/>
      <c r="C49" s="131"/>
      <c r="D49" s="132"/>
      <c r="E49" s="133"/>
      <c r="F49" s="132"/>
      <c r="G49" s="134"/>
      <c r="H49" s="134"/>
      <c r="I49" s="134"/>
      <c r="J49" s="134"/>
      <c r="K49" s="10" t="str">
        <f t="shared" si="4"/>
        <v/>
      </c>
      <c r="L49" s="10" t="str">
        <f t="shared" si="5"/>
        <v/>
      </c>
      <c r="M49" s="132"/>
      <c r="N49" s="135"/>
      <c r="O49" s="11" t="str">
        <f t="shared" si="6"/>
        <v/>
      </c>
      <c r="P49" s="12">
        <f t="shared" si="7"/>
        <v>4000</v>
      </c>
      <c r="Q49" s="132"/>
      <c r="R49" s="132"/>
      <c r="S49" s="132"/>
      <c r="T49" s="132"/>
      <c r="U49" s="13" t="str">
        <f>IFERROR(IF(AND(B49&lt;&gt;"",C49&lt;&gt;""),_xludf.DAYS(C49,B49),""),"—")</f>
        <v/>
      </c>
      <c r="V49" s="136"/>
      <c r="W49" s="137"/>
    </row>
    <row r="50" spans="1:23" ht="18" customHeight="1" x14ac:dyDescent="0.2">
      <c r="A50" s="9">
        <f>49</f>
        <v>49</v>
      </c>
      <c r="B50" s="131"/>
      <c r="C50" s="131"/>
      <c r="D50" s="132"/>
      <c r="E50" s="133"/>
      <c r="F50" s="132"/>
      <c r="G50" s="134"/>
      <c r="H50" s="134"/>
      <c r="I50" s="134"/>
      <c r="J50" s="134"/>
      <c r="K50" s="10" t="str">
        <f t="shared" si="4"/>
        <v/>
      </c>
      <c r="L50" s="10" t="str">
        <f t="shared" si="5"/>
        <v/>
      </c>
      <c r="M50" s="132"/>
      <c r="N50" s="135"/>
      <c r="O50" s="11" t="str">
        <f t="shared" si="6"/>
        <v/>
      </c>
      <c r="P50" s="12">
        <f t="shared" si="7"/>
        <v>4000</v>
      </c>
      <c r="Q50" s="132"/>
      <c r="R50" s="132"/>
      <c r="S50" s="132"/>
      <c r="T50" s="132"/>
      <c r="U50" s="13" t="str">
        <f>IFERROR(IF(AND(B50&lt;&gt;"",C50&lt;&gt;""),_xludf.DAYS(C50,B50),""),"—")</f>
        <v/>
      </c>
      <c r="V50" s="136"/>
      <c r="W50" s="137"/>
    </row>
    <row r="51" spans="1:23" ht="18" customHeight="1" x14ac:dyDescent="0.2">
      <c r="A51" s="9">
        <f>50</f>
        <v>50</v>
      </c>
      <c r="B51" s="131"/>
      <c r="C51" s="131"/>
      <c r="D51" s="132"/>
      <c r="E51" s="133"/>
      <c r="F51" s="132"/>
      <c r="G51" s="134"/>
      <c r="H51" s="134"/>
      <c r="I51" s="134"/>
      <c r="J51" s="134"/>
      <c r="K51" s="10" t="str">
        <f t="shared" si="4"/>
        <v/>
      </c>
      <c r="L51" s="10" t="str">
        <f t="shared" si="5"/>
        <v/>
      </c>
      <c r="M51" s="132"/>
      <c r="N51" s="135"/>
      <c r="O51" s="11" t="str">
        <f t="shared" si="6"/>
        <v/>
      </c>
      <c r="P51" s="12">
        <f t="shared" si="7"/>
        <v>4000</v>
      </c>
      <c r="Q51" s="132"/>
      <c r="R51" s="132"/>
      <c r="S51" s="132"/>
      <c r="T51" s="132"/>
      <c r="U51" s="13" t="str">
        <f>IFERROR(IF(AND(B51&lt;&gt;"",C51&lt;&gt;""),_xludf.DAYS(C51,B51),""),"—")</f>
        <v/>
      </c>
      <c r="V51" s="136"/>
      <c r="W51" s="137"/>
    </row>
    <row r="52" spans="1:23" ht="18" customHeight="1" x14ac:dyDescent="0.2">
      <c r="A52" s="9">
        <f>51</f>
        <v>51</v>
      </c>
      <c r="B52" s="131"/>
      <c r="C52" s="131"/>
      <c r="D52" s="132"/>
      <c r="E52" s="133"/>
      <c r="F52" s="132"/>
      <c r="G52" s="134"/>
      <c r="H52" s="134"/>
      <c r="I52" s="134"/>
      <c r="J52" s="134"/>
      <c r="K52" s="10" t="str">
        <f t="shared" si="4"/>
        <v/>
      </c>
      <c r="L52" s="10" t="str">
        <f t="shared" si="5"/>
        <v/>
      </c>
      <c r="M52" s="132"/>
      <c r="N52" s="135"/>
      <c r="O52" s="11" t="str">
        <f t="shared" si="6"/>
        <v/>
      </c>
      <c r="P52" s="12">
        <f t="shared" si="7"/>
        <v>4000</v>
      </c>
      <c r="Q52" s="132"/>
      <c r="R52" s="132"/>
      <c r="S52" s="132"/>
      <c r="T52" s="132"/>
      <c r="U52" s="13" t="str">
        <f>IFERROR(IF(AND(B52&lt;&gt;"",C52&lt;&gt;""),_xludf.DAYS(C52,B52),""),"—")</f>
        <v/>
      </c>
      <c r="V52" s="136"/>
      <c r="W52" s="137"/>
    </row>
    <row r="53" spans="1:23" ht="18" customHeight="1" x14ac:dyDescent="0.2">
      <c r="A53" s="9">
        <f>52</f>
        <v>52</v>
      </c>
      <c r="B53" s="131"/>
      <c r="C53" s="131"/>
      <c r="D53" s="132"/>
      <c r="E53" s="133"/>
      <c r="F53" s="132"/>
      <c r="G53" s="134"/>
      <c r="H53" s="134"/>
      <c r="I53" s="134"/>
      <c r="J53" s="134"/>
      <c r="K53" s="10" t="str">
        <f t="shared" si="4"/>
        <v/>
      </c>
      <c r="L53" s="10" t="str">
        <f t="shared" si="5"/>
        <v/>
      </c>
      <c r="M53" s="132"/>
      <c r="N53" s="135"/>
      <c r="O53" s="11" t="str">
        <f t="shared" si="6"/>
        <v/>
      </c>
      <c r="P53" s="12">
        <f t="shared" si="7"/>
        <v>4000</v>
      </c>
      <c r="Q53" s="132"/>
      <c r="R53" s="132"/>
      <c r="S53" s="132"/>
      <c r="T53" s="132"/>
      <c r="U53" s="13" t="str">
        <f>IFERROR(IF(AND(B53&lt;&gt;"",C53&lt;&gt;""),_xludf.DAYS(C53,B53),""),"—")</f>
        <v/>
      </c>
      <c r="V53" s="136"/>
      <c r="W53" s="137"/>
    </row>
    <row r="54" spans="1:23" ht="18" customHeight="1" x14ac:dyDescent="0.2">
      <c r="A54" s="9">
        <f>53</f>
        <v>53</v>
      </c>
      <c r="B54" s="131"/>
      <c r="C54" s="131"/>
      <c r="D54" s="132"/>
      <c r="E54" s="133"/>
      <c r="F54" s="132"/>
      <c r="G54" s="134"/>
      <c r="H54" s="134"/>
      <c r="I54" s="134"/>
      <c r="J54" s="134"/>
      <c r="K54" s="10" t="str">
        <f t="shared" si="4"/>
        <v/>
      </c>
      <c r="L54" s="10" t="str">
        <f t="shared" si="5"/>
        <v/>
      </c>
      <c r="M54" s="132"/>
      <c r="N54" s="135"/>
      <c r="O54" s="11" t="str">
        <f t="shared" si="6"/>
        <v/>
      </c>
      <c r="P54" s="12">
        <f t="shared" si="7"/>
        <v>4000</v>
      </c>
      <c r="Q54" s="132"/>
      <c r="R54" s="132"/>
      <c r="S54" s="132"/>
      <c r="T54" s="132"/>
      <c r="U54" s="13" t="str">
        <f>IFERROR(IF(AND(B54&lt;&gt;"",C54&lt;&gt;""),_xludf.DAYS(C54,B54),""),"—")</f>
        <v/>
      </c>
      <c r="V54" s="136"/>
      <c r="W54" s="137"/>
    </row>
    <row r="55" spans="1:23" ht="18" customHeight="1" x14ac:dyDescent="0.2">
      <c r="A55" s="9">
        <f>54</f>
        <v>54</v>
      </c>
      <c r="B55" s="131"/>
      <c r="C55" s="131"/>
      <c r="D55" s="132"/>
      <c r="E55" s="133"/>
      <c r="F55" s="132"/>
      <c r="G55" s="134"/>
      <c r="H55" s="134"/>
      <c r="I55" s="134"/>
      <c r="J55" s="134"/>
      <c r="K55" s="10" t="str">
        <f t="shared" si="4"/>
        <v/>
      </c>
      <c r="L55" s="10" t="str">
        <f t="shared" si="5"/>
        <v/>
      </c>
      <c r="M55" s="132"/>
      <c r="N55" s="135"/>
      <c r="O55" s="11" t="str">
        <f t="shared" si="6"/>
        <v/>
      </c>
      <c r="P55" s="12">
        <f t="shared" si="7"/>
        <v>4000</v>
      </c>
      <c r="Q55" s="132"/>
      <c r="R55" s="132"/>
      <c r="S55" s="132"/>
      <c r="T55" s="132"/>
      <c r="U55" s="13" t="str">
        <f>IFERROR(IF(AND(B55&lt;&gt;"",C55&lt;&gt;""),_xludf.DAYS(C55,B55),""),"—")</f>
        <v/>
      </c>
      <c r="V55" s="136"/>
      <c r="W55" s="137"/>
    </row>
    <row r="56" spans="1:23" ht="18" customHeight="1" x14ac:dyDescent="0.2">
      <c r="A56" s="9">
        <f>55</f>
        <v>55</v>
      </c>
      <c r="B56" s="131"/>
      <c r="C56" s="131"/>
      <c r="D56" s="132"/>
      <c r="E56" s="133"/>
      <c r="F56" s="132"/>
      <c r="G56" s="134"/>
      <c r="H56" s="134"/>
      <c r="I56" s="134"/>
      <c r="J56" s="134"/>
      <c r="K56" s="10" t="str">
        <f t="shared" si="4"/>
        <v/>
      </c>
      <c r="L56" s="10" t="str">
        <f t="shared" si="5"/>
        <v/>
      </c>
      <c r="M56" s="132"/>
      <c r="N56" s="135"/>
      <c r="O56" s="11" t="str">
        <f t="shared" si="6"/>
        <v/>
      </c>
      <c r="P56" s="12">
        <f t="shared" si="7"/>
        <v>4000</v>
      </c>
      <c r="Q56" s="132"/>
      <c r="R56" s="132"/>
      <c r="S56" s="132"/>
      <c r="T56" s="132"/>
      <c r="U56" s="13" t="str">
        <f>IFERROR(IF(AND(B56&lt;&gt;"",C56&lt;&gt;""),_xludf.DAYS(C56,B56),""),"—")</f>
        <v/>
      </c>
      <c r="V56" s="136"/>
      <c r="W56" s="137"/>
    </row>
    <row r="57" spans="1:23" ht="18" customHeight="1" x14ac:dyDescent="0.2">
      <c r="A57" s="9">
        <f>56</f>
        <v>56</v>
      </c>
      <c r="B57" s="131"/>
      <c r="C57" s="131"/>
      <c r="D57" s="132"/>
      <c r="E57" s="133"/>
      <c r="F57" s="132"/>
      <c r="G57" s="134"/>
      <c r="H57" s="134"/>
      <c r="I57" s="134"/>
      <c r="J57" s="134"/>
      <c r="K57" s="10" t="str">
        <f t="shared" si="4"/>
        <v/>
      </c>
      <c r="L57" s="10" t="str">
        <f t="shared" si="5"/>
        <v/>
      </c>
      <c r="M57" s="132"/>
      <c r="N57" s="135"/>
      <c r="O57" s="11" t="str">
        <f t="shared" si="6"/>
        <v/>
      </c>
      <c r="P57" s="12">
        <f t="shared" si="7"/>
        <v>4000</v>
      </c>
      <c r="Q57" s="132"/>
      <c r="R57" s="132"/>
      <c r="S57" s="132"/>
      <c r="T57" s="132"/>
      <c r="U57" s="13" t="str">
        <f>IFERROR(IF(AND(B57&lt;&gt;"",C57&lt;&gt;""),_xludf.DAYS(C57,B57),""),"—")</f>
        <v/>
      </c>
      <c r="V57" s="136"/>
      <c r="W57" s="137"/>
    </row>
    <row r="58" spans="1:23" ht="18" customHeight="1" x14ac:dyDescent="0.2">
      <c r="A58" s="9">
        <f>57</f>
        <v>57</v>
      </c>
      <c r="B58" s="131"/>
      <c r="C58" s="131"/>
      <c r="D58" s="132"/>
      <c r="E58" s="133"/>
      <c r="F58" s="132"/>
      <c r="G58" s="134"/>
      <c r="H58" s="134"/>
      <c r="I58" s="134"/>
      <c r="J58" s="134"/>
      <c r="K58" s="10" t="str">
        <f t="shared" si="4"/>
        <v/>
      </c>
      <c r="L58" s="10" t="str">
        <f t="shared" si="5"/>
        <v/>
      </c>
      <c r="M58" s="132"/>
      <c r="N58" s="135"/>
      <c r="O58" s="11" t="str">
        <f t="shared" si="6"/>
        <v/>
      </c>
      <c r="P58" s="12">
        <f t="shared" si="7"/>
        <v>4000</v>
      </c>
      <c r="Q58" s="132"/>
      <c r="R58" s="132"/>
      <c r="S58" s="132"/>
      <c r="T58" s="132"/>
      <c r="U58" s="13" t="str">
        <f>IFERROR(IF(AND(B58&lt;&gt;"",C58&lt;&gt;""),_xludf.DAYS(C58,B58),""),"—")</f>
        <v/>
      </c>
      <c r="V58" s="136"/>
      <c r="W58" s="137"/>
    </row>
    <row r="59" spans="1:23" ht="18" customHeight="1" x14ac:dyDescent="0.2">
      <c r="A59" s="9">
        <f>58</f>
        <v>58</v>
      </c>
      <c r="B59" s="131"/>
      <c r="C59" s="131"/>
      <c r="D59" s="132"/>
      <c r="E59" s="133"/>
      <c r="F59" s="132"/>
      <c r="G59" s="134"/>
      <c r="H59" s="134"/>
      <c r="I59" s="134"/>
      <c r="J59" s="134"/>
      <c r="K59" s="10" t="str">
        <f t="shared" si="4"/>
        <v/>
      </c>
      <c r="L59" s="10" t="str">
        <f t="shared" si="5"/>
        <v/>
      </c>
      <c r="M59" s="132"/>
      <c r="N59" s="135"/>
      <c r="O59" s="11" t="str">
        <f t="shared" si="6"/>
        <v/>
      </c>
      <c r="P59" s="12">
        <f t="shared" si="7"/>
        <v>4000</v>
      </c>
      <c r="Q59" s="132"/>
      <c r="R59" s="132"/>
      <c r="S59" s="132"/>
      <c r="T59" s="132"/>
      <c r="U59" s="13" t="str">
        <f>IFERROR(IF(AND(B59&lt;&gt;"",C59&lt;&gt;""),_xludf.DAYS(C59,B59),""),"—")</f>
        <v/>
      </c>
      <c r="V59" s="136"/>
      <c r="W59" s="137"/>
    </row>
    <row r="60" spans="1:23" ht="18" customHeight="1" x14ac:dyDescent="0.2">
      <c r="A60" s="9">
        <f>59</f>
        <v>59</v>
      </c>
      <c r="B60" s="131"/>
      <c r="C60" s="131"/>
      <c r="D60" s="132"/>
      <c r="E60" s="133"/>
      <c r="F60" s="132"/>
      <c r="G60" s="134"/>
      <c r="H60" s="134"/>
      <c r="I60" s="134"/>
      <c r="J60" s="134"/>
      <c r="K60" s="10" t="str">
        <f t="shared" si="4"/>
        <v/>
      </c>
      <c r="L60" s="10" t="str">
        <f t="shared" si="5"/>
        <v/>
      </c>
      <c r="M60" s="132"/>
      <c r="N60" s="135"/>
      <c r="O60" s="11" t="str">
        <f t="shared" si="6"/>
        <v/>
      </c>
      <c r="P60" s="12">
        <f t="shared" si="7"/>
        <v>4000</v>
      </c>
      <c r="Q60" s="132"/>
      <c r="R60" s="132"/>
      <c r="S60" s="132"/>
      <c r="T60" s="132"/>
      <c r="U60" s="13" t="str">
        <f>IFERROR(IF(AND(B60&lt;&gt;"",C60&lt;&gt;""),_xludf.DAYS(C60,B60),""),"—")</f>
        <v/>
      </c>
      <c r="V60" s="136"/>
      <c r="W60" s="137"/>
    </row>
    <row r="61" spans="1:23" ht="18" customHeight="1" x14ac:dyDescent="0.2">
      <c r="A61" s="9">
        <f>60</f>
        <v>60</v>
      </c>
      <c r="B61" s="131"/>
      <c r="C61" s="131"/>
      <c r="D61" s="132"/>
      <c r="E61" s="133"/>
      <c r="F61" s="132"/>
      <c r="G61" s="134"/>
      <c r="H61" s="134"/>
      <c r="I61" s="134"/>
      <c r="J61" s="134"/>
      <c r="K61" s="10" t="str">
        <f t="shared" si="4"/>
        <v/>
      </c>
      <c r="L61" s="10" t="str">
        <f t="shared" si="5"/>
        <v/>
      </c>
      <c r="M61" s="132"/>
      <c r="N61" s="135"/>
      <c r="O61" s="11" t="str">
        <f t="shared" si="6"/>
        <v/>
      </c>
      <c r="P61" s="12">
        <f t="shared" si="7"/>
        <v>4000</v>
      </c>
      <c r="Q61" s="132"/>
      <c r="R61" s="132"/>
      <c r="S61" s="132"/>
      <c r="T61" s="132"/>
      <c r="U61" s="13" t="str">
        <f>IFERROR(IF(AND(B61&lt;&gt;"",C61&lt;&gt;""),_xludf.DAYS(C61,B61),""),"—")</f>
        <v/>
      </c>
      <c r="V61" s="136"/>
      <c r="W61" s="137"/>
    </row>
    <row r="62" spans="1:23" ht="18" customHeight="1" x14ac:dyDescent="0.2">
      <c r="A62" s="9">
        <f>61</f>
        <v>61</v>
      </c>
      <c r="B62" s="131"/>
      <c r="C62" s="131"/>
      <c r="D62" s="132"/>
      <c r="E62" s="133"/>
      <c r="F62" s="132"/>
      <c r="G62" s="134"/>
      <c r="H62" s="134"/>
      <c r="I62" s="134"/>
      <c r="J62" s="134"/>
      <c r="K62" s="10" t="str">
        <f t="shared" si="4"/>
        <v/>
      </c>
      <c r="L62" s="10" t="str">
        <f t="shared" si="5"/>
        <v/>
      </c>
      <c r="M62" s="132"/>
      <c r="N62" s="135"/>
      <c r="O62" s="11" t="str">
        <f t="shared" si="6"/>
        <v/>
      </c>
      <c r="P62" s="12">
        <f t="shared" si="7"/>
        <v>4000</v>
      </c>
      <c r="Q62" s="132"/>
      <c r="R62" s="132"/>
      <c r="S62" s="132"/>
      <c r="T62" s="132"/>
      <c r="U62" s="13" t="str">
        <f>IFERROR(IF(AND(B62&lt;&gt;"",C62&lt;&gt;""),_xludf.DAYS(C62,B62),""),"—")</f>
        <v/>
      </c>
      <c r="V62" s="136"/>
      <c r="W62" s="137"/>
    </row>
    <row r="63" spans="1:23" ht="18" customHeight="1" x14ac:dyDescent="0.2">
      <c r="A63" s="9">
        <f>62</f>
        <v>62</v>
      </c>
      <c r="B63" s="131"/>
      <c r="C63" s="131"/>
      <c r="D63" s="132"/>
      <c r="E63" s="133"/>
      <c r="F63" s="132"/>
      <c r="G63" s="134"/>
      <c r="H63" s="134"/>
      <c r="I63" s="134"/>
      <c r="J63" s="134"/>
      <c r="K63" s="10" t="str">
        <f t="shared" si="4"/>
        <v/>
      </c>
      <c r="L63" s="10" t="str">
        <f t="shared" si="5"/>
        <v/>
      </c>
      <c r="M63" s="132"/>
      <c r="N63" s="135"/>
      <c r="O63" s="11" t="str">
        <f t="shared" si="6"/>
        <v/>
      </c>
      <c r="P63" s="12">
        <f t="shared" si="7"/>
        <v>4000</v>
      </c>
      <c r="Q63" s="132"/>
      <c r="R63" s="132"/>
      <c r="S63" s="132"/>
      <c r="T63" s="132"/>
      <c r="U63" s="13" t="str">
        <f>IFERROR(IF(AND(B63&lt;&gt;"",C63&lt;&gt;""),_xludf.DAYS(C63,B63),""),"—")</f>
        <v/>
      </c>
      <c r="V63" s="136"/>
      <c r="W63" s="137"/>
    </row>
    <row r="64" spans="1:23" ht="18" customHeight="1" x14ac:dyDescent="0.2">
      <c r="A64" s="9">
        <f>63</f>
        <v>63</v>
      </c>
      <c r="B64" s="131"/>
      <c r="C64" s="131"/>
      <c r="D64" s="132"/>
      <c r="E64" s="133"/>
      <c r="F64" s="132"/>
      <c r="G64" s="134"/>
      <c r="H64" s="134"/>
      <c r="I64" s="134"/>
      <c r="J64" s="134"/>
      <c r="K64" s="10" t="str">
        <f t="shared" si="4"/>
        <v/>
      </c>
      <c r="L64" s="10" t="str">
        <f t="shared" si="5"/>
        <v/>
      </c>
      <c r="M64" s="132"/>
      <c r="N64" s="135"/>
      <c r="O64" s="11" t="str">
        <f t="shared" si="6"/>
        <v/>
      </c>
      <c r="P64" s="12">
        <f t="shared" si="7"/>
        <v>4000</v>
      </c>
      <c r="Q64" s="132"/>
      <c r="R64" s="132"/>
      <c r="S64" s="132"/>
      <c r="T64" s="132"/>
      <c r="U64" s="13" t="str">
        <f>IFERROR(IF(AND(B64&lt;&gt;"",C64&lt;&gt;""),_xludf.DAYS(C64,B64),""),"—")</f>
        <v/>
      </c>
      <c r="V64" s="136"/>
      <c r="W64" s="137"/>
    </row>
    <row r="65" spans="1:23" ht="18" customHeight="1" x14ac:dyDescent="0.2">
      <c r="A65" s="9">
        <f>64</f>
        <v>64</v>
      </c>
      <c r="B65" s="131"/>
      <c r="C65" s="131"/>
      <c r="D65" s="132"/>
      <c r="E65" s="133"/>
      <c r="F65" s="132"/>
      <c r="G65" s="134"/>
      <c r="H65" s="134"/>
      <c r="I65" s="134"/>
      <c r="J65" s="134"/>
      <c r="K65" s="10" t="str">
        <f t="shared" si="4"/>
        <v/>
      </c>
      <c r="L65" s="10" t="str">
        <f t="shared" si="5"/>
        <v/>
      </c>
      <c r="M65" s="132"/>
      <c r="N65" s="135"/>
      <c r="O65" s="11" t="str">
        <f t="shared" si="6"/>
        <v/>
      </c>
      <c r="P65" s="12">
        <f t="shared" si="7"/>
        <v>4000</v>
      </c>
      <c r="Q65" s="132"/>
      <c r="R65" s="132"/>
      <c r="S65" s="132"/>
      <c r="T65" s="132"/>
      <c r="U65" s="13" t="str">
        <f>IFERROR(IF(AND(B65&lt;&gt;"",C65&lt;&gt;""),_xludf.DAYS(C65,B65),""),"—")</f>
        <v/>
      </c>
      <c r="V65" s="136"/>
      <c r="W65" s="137"/>
    </row>
    <row r="66" spans="1:23" ht="18" customHeight="1" x14ac:dyDescent="0.2">
      <c r="A66" s="9">
        <f>65</f>
        <v>65</v>
      </c>
      <c r="B66" s="131"/>
      <c r="C66" s="131"/>
      <c r="D66" s="132"/>
      <c r="E66" s="133"/>
      <c r="F66" s="132"/>
      <c r="G66" s="134"/>
      <c r="H66" s="134"/>
      <c r="I66" s="134"/>
      <c r="J66" s="134"/>
      <c r="K66" s="10" t="str">
        <f t="shared" ref="K66:K97" si="8">IFERROR(IF(F66="Mua",(I66-G66)/(G66-H66),(G66-I66)/(H66-G66)),"")</f>
        <v/>
      </c>
      <c r="L66" s="10" t="str">
        <f t="shared" ref="L66:L97" si="9">IFERROR(IF(F66="Mua",(J66-G66)/(G66-H66),(G66-J66)/(H66-G66)),"")</f>
        <v/>
      </c>
      <c r="M66" s="132"/>
      <c r="N66" s="135"/>
      <c r="O66" s="11" t="str">
        <f t="shared" si="6"/>
        <v/>
      </c>
      <c r="P66" s="12">
        <f t="shared" si="7"/>
        <v>4000</v>
      </c>
      <c r="Q66" s="132"/>
      <c r="R66" s="132"/>
      <c r="S66" s="132"/>
      <c r="T66" s="132"/>
      <c r="U66" s="13" t="str">
        <f>IFERROR(IF(AND(B66&lt;&gt;"",C66&lt;&gt;""),_xludf.DAYS(C66,B66),""),"—")</f>
        <v/>
      </c>
      <c r="V66" s="136"/>
      <c r="W66" s="137"/>
    </row>
    <row r="67" spans="1:23" ht="18" customHeight="1" x14ac:dyDescent="0.2">
      <c r="A67" s="9">
        <f>66</f>
        <v>66</v>
      </c>
      <c r="B67" s="131"/>
      <c r="C67" s="131"/>
      <c r="D67" s="132"/>
      <c r="E67" s="133"/>
      <c r="F67" s="132"/>
      <c r="G67" s="134"/>
      <c r="H67" s="134"/>
      <c r="I67" s="134"/>
      <c r="J67" s="134"/>
      <c r="K67" s="10" t="str">
        <f t="shared" si="8"/>
        <v/>
      </c>
      <c r="L67" s="10" t="str">
        <f t="shared" si="9"/>
        <v/>
      </c>
      <c r="M67" s="132"/>
      <c r="N67" s="135"/>
      <c r="O67" s="11" t="str">
        <f t="shared" ref="O67:O98" si="10">IFERROR(IF(N67&lt;&gt;"",N67/P66,""),"")</f>
        <v/>
      </c>
      <c r="P67" s="12">
        <f t="shared" ref="P67:P98" si="11">IF(N67&lt;&gt;"",P66+N67,P66)</f>
        <v>4000</v>
      </c>
      <c r="Q67" s="132"/>
      <c r="R67" s="132"/>
      <c r="S67" s="132"/>
      <c r="T67" s="132"/>
      <c r="U67" s="13" t="str">
        <f>IFERROR(IF(AND(B67&lt;&gt;"",C67&lt;&gt;""),_xludf.DAYS(C67,B67),""),"—")</f>
        <v/>
      </c>
      <c r="V67" s="136"/>
      <c r="W67" s="137"/>
    </row>
    <row r="68" spans="1:23" ht="18" customHeight="1" x14ac:dyDescent="0.2">
      <c r="A68" s="9">
        <f>67</f>
        <v>67</v>
      </c>
      <c r="B68" s="131"/>
      <c r="C68" s="131"/>
      <c r="D68" s="132"/>
      <c r="E68" s="133"/>
      <c r="F68" s="132"/>
      <c r="G68" s="134"/>
      <c r="H68" s="134"/>
      <c r="I68" s="134"/>
      <c r="J68" s="134"/>
      <c r="K68" s="10" t="str">
        <f t="shared" si="8"/>
        <v/>
      </c>
      <c r="L68" s="10" t="str">
        <f t="shared" si="9"/>
        <v/>
      </c>
      <c r="M68" s="132"/>
      <c r="N68" s="135"/>
      <c r="O68" s="11" t="str">
        <f t="shared" si="10"/>
        <v/>
      </c>
      <c r="P68" s="12">
        <f t="shared" si="11"/>
        <v>4000</v>
      </c>
      <c r="Q68" s="132"/>
      <c r="R68" s="132"/>
      <c r="S68" s="132"/>
      <c r="T68" s="132"/>
      <c r="U68" s="13" t="str">
        <f>IFERROR(IF(AND(B68&lt;&gt;"",C68&lt;&gt;""),_xludf.DAYS(C68,B68),""),"—")</f>
        <v/>
      </c>
      <c r="V68" s="136"/>
      <c r="W68" s="137"/>
    </row>
    <row r="69" spans="1:23" ht="18" customHeight="1" x14ac:dyDescent="0.2">
      <c r="A69" s="9">
        <f>68</f>
        <v>68</v>
      </c>
      <c r="B69" s="131"/>
      <c r="C69" s="131"/>
      <c r="D69" s="132"/>
      <c r="E69" s="133"/>
      <c r="F69" s="132"/>
      <c r="G69" s="134"/>
      <c r="H69" s="134"/>
      <c r="I69" s="134"/>
      <c r="J69" s="134"/>
      <c r="K69" s="10" t="str">
        <f t="shared" si="8"/>
        <v/>
      </c>
      <c r="L69" s="10" t="str">
        <f t="shared" si="9"/>
        <v/>
      </c>
      <c r="M69" s="132"/>
      <c r="N69" s="135"/>
      <c r="O69" s="11" t="str">
        <f t="shared" si="10"/>
        <v/>
      </c>
      <c r="P69" s="12">
        <f t="shared" si="11"/>
        <v>4000</v>
      </c>
      <c r="Q69" s="132"/>
      <c r="R69" s="132"/>
      <c r="S69" s="132"/>
      <c r="T69" s="132"/>
      <c r="U69" s="13" t="str">
        <f>IFERROR(IF(AND(B69&lt;&gt;"",C69&lt;&gt;""),_xludf.DAYS(C69,B69),""),"—")</f>
        <v/>
      </c>
      <c r="V69" s="136"/>
      <c r="W69" s="137"/>
    </row>
    <row r="70" spans="1:23" ht="18" customHeight="1" x14ac:dyDescent="0.2">
      <c r="A70" s="9">
        <f>69</f>
        <v>69</v>
      </c>
      <c r="B70" s="131"/>
      <c r="C70" s="131"/>
      <c r="D70" s="132"/>
      <c r="E70" s="133"/>
      <c r="F70" s="132"/>
      <c r="G70" s="134"/>
      <c r="H70" s="134"/>
      <c r="I70" s="134"/>
      <c r="J70" s="134"/>
      <c r="K70" s="10" t="str">
        <f t="shared" si="8"/>
        <v/>
      </c>
      <c r="L70" s="10" t="str">
        <f t="shared" si="9"/>
        <v/>
      </c>
      <c r="M70" s="132"/>
      <c r="N70" s="135"/>
      <c r="O70" s="11" t="str">
        <f t="shared" si="10"/>
        <v/>
      </c>
      <c r="P70" s="12">
        <f t="shared" si="11"/>
        <v>4000</v>
      </c>
      <c r="Q70" s="132"/>
      <c r="R70" s="132"/>
      <c r="S70" s="132"/>
      <c r="T70" s="132"/>
      <c r="U70" s="13" t="str">
        <f>IFERROR(IF(AND(B70&lt;&gt;"",C70&lt;&gt;""),_xludf.DAYS(C70,B70),""),"—")</f>
        <v/>
      </c>
      <c r="V70" s="136"/>
      <c r="W70" s="137"/>
    </row>
    <row r="71" spans="1:23" ht="18" customHeight="1" x14ac:dyDescent="0.2">
      <c r="A71" s="9">
        <f>70</f>
        <v>70</v>
      </c>
      <c r="B71" s="131"/>
      <c r="C71" s="131"/>
      <c r="D71" s="132"/>
      <c r="E71" s="133"/>
      <c r="F71" s="132"/>
      <c r="G71" s="134"/>
      <c r="H71" s="134"/>
      <c r="I71" s="134"/>
      <c r="J71" s="134"/>
      <c r="K71" s="10" t="str">
        <f t="shared" si="8"/>
        <v/>
      </c>
      <c r="L71" s="10" t="str">
        <f t="shared" si="9"/>
        <v/>
      </c>
      <c r="M71" s="132"/>
      <c r="N71" s="135"/>
      <c r="O71" s="11" t="str">
        <f t="shared" si="10"/>
        <v/>
      </c>
      <c r="P71" s="12">
        <f t="shared" si="11"/>
        <v>4000</v>
      </c>
      <c r="Q71" s="132"/>
      <c r="R71" s="132"/>
      <c r="S71" s="132"/>
      <c r="T71" s="132"/>
      <c r="U71" s="13" t="str">
        <f>IFERROR(IF(AND(B71&lt;&gt;"",C71&lt;&gt;""),_xludf.DAYS(C71,B71),""),"—")</f>
        <v/>
      </c>
      <c r="V71" s="136"/>
      <c r="W71" s="137"/>
    </row>
    <row r="72" spans="1:23" ht="18" customHeight="1" x14ac:dyDescent="0.2">
      <c r="A72" s="9">
        <f>71</f>
        <v>71</v>
      </c>
      <c r="B72" s="131"/>
      <c r="C72" s="131"/>
      <c r="D72" s="132"/>
      <c r="E72" s="133"/>
      <c r="F72" s="132"/>
      <c r="G72" s="134"/>
      <c r="H72" s="134"/>
      <c r="I72" s="134"/>
      <c r="J72" s="134"/>
      <c r="K72" s="10" t="str">
        <f t="shared" si="8"/>
        <v/>
      </c>
      <c r="L72" s="10" t="str">
        <f t="shared" si="9"/>
        <v/>
      </c>
      <c r="M72" s="132"/>
      <c r="N72" s="135"/>
      <c r="O72" s="11" t="str">
        <f t="shared" si="10"/>
        <v/>
      </c>
      <c r="P72" s="12">
        <f t="shared" si="11"/>
        <v>4000</v>
      </c>
      <c r="Q72" s="132"/>
      <c r="R72" s="132"/>
      <c r="S72" s="132"/>
      <c r="T72" s="132"/>
      <c r="U72" s="13" t="str">
        <f>IFERROR(IF(AND(B72&lt;&gt;"",C72&lt;&gt;""),_xludf.DAYS(C72,B72),""),"—")</f>
        <v/>
      </c>
      <c r="V72" s="136"/>
      <c r="W72" s="137"/>
    </row>
    <row r="73" spans="1:23" ht="18" customHeight="1" x14ac:dyDescent="0.2">
      <c r="A73" s="9">
        <f>72</f>
        <v>72</v>
      </c>
      <c r="B73" s="131"/>
      <c r="C73" s="131"/>
      <c r="D73" s="132"/>
      <c r="E73" s="133"/>
      <c r="F73" s="132"/>
      <c r="G73" s="134"/>
      <c r="H73" s="134"/>
      <c r="I73" s="134"/>
      <c r="J73" s="134"/>
      <c r="K73" s="10" t="str">
        <f t="shared" si="8"/>
        <v/>
      </c>
      <c r="L73" s="10" t="str">
        <f t="shared" si="9"/>
        <v/>
      </c>
      <c r="M73" s="132"/>
      <c r="N73" s="135"/>
      <c r="O73" s="11" t="str">
        <f t="shared" si="10"/>
        <v/>
      </c>
      <c r="P73" s="12">
        <f t="shared" si="11"/>
        <v>4000</v>
      </c>
      <c r="Q73" s="132"/>
      <c r="R73" s="132"/>
      <c r="S73" s="132"/>
      <c r="T73" s="132"/>
      <c r="U73" s="13" t="str">
        <f>IFERROR(IF(AND(B73&lt;&gt;"",C73&lt;&gt;""),_xludf.DAYS(C73,B73),""),"—")</f>
        <v/>
      </c>
      <c r="V73" s="136"/>
      <c r="W73" s="137"/>
    </row>
    <row r="74" spans="1:23" ht="18" customHeight="1" x14ac:dyDescent="0.2">
      <c r="A74" s="9">
        <f>73</f>
        <v>73</v>
      </c>
      <c r="B74" s="131"/>
      <c r="C74" s="131"/>
      <c r="D74" s="132"/>
      <c r="E74" s="133"/>
      <c r="F74" s="132"/>
      <c r="G74" s="134"/>
      <c r="H74" s="134"/>
      <c r="I74" s="134"/>
      <c r="J74" s="134"/>
      <c r="K74" s="10" t="str">
        <f t="shared" si="8"/>
        <v/>
      </c>
      <c r="L74" s="10" t="str">
        <f t="shared" si="9"/>
        <v/>
      </c>
      <c r="M74" s="132"/>
      <c r="N74" s="135"/>
      <c r="O74" s="11" t="str">
        <f t="shared" si="10"/>
        <v/>
      </c>
      <c r="P74" s="12">
        <f t="shared" si="11"/>
        <v>4000</v>
      </c>
      <c r="Q74" s="132"/>
      <c r="R74" s="132"/>
      <c r="S74" s="132"/>
      <c r="T74" s="132"/>
      <c r="U74" s="13" t="str">
        <f>IFERROR(IF(AND(B74&lt;&gt;"",C74&lt;&gt;""),_xludf.DAYS(C74,B74),""),"—")</f>
        <v/>
      </c>
      <c r="V74" s="136"/>
      <c r="W74" s="137"/>
    </row>
    <row r="75" spans="1:23" ht="18" customHeight="1" x14ac:dyDescent="0.2">
      <c r="A75" s="9">
        <f>74</f>
        <v>74</v>
      </c>
      <c r="B75" s="131"/>
      <c r="C75" s="131"/>
      <c r="D75" s="132"/>
      <c r="E75" s="133"/>
      <c r="F75" s="132"/>
      <c r="G75" s="134"/>
      <c r="H75" s="134"/>
      <c r="I75" s="134"/>
      <c r="J75" s="134"/>
      <c r="K75" s="10" t="str">
        <f t="shared" si="8"/>
        <v/>
      </c>
      <c r="L75" s="10" t="str">
        <f t="shared" si="9"/>
        <v/>
      </c>
      <c r="M75" s="132"/>
      <c r="N75" s="135"/>
      <c r="O75" s="11" t="str">
        <f t="shared" si="10"/>
        <v/>
      </c>
      <c r="P75" s="12">
        <f t="shared" si="11"/>
        <v>4000</v>
      </c>
      <c r="Q75" s="132"/>
      <c r="R75" s="132"/>
      <c r="S75" s="132"/>
      <c r="T75" s="132"/>
      <c r="U75" s="13" t="str">
        <f>IFERROR(IF(AND(B75&lt;&gt;"",C75&lt;&gt;""),_xludf.DAYS(C75,B75),""),"—")</f>
        <v/>
      </c>
      <c r="V75" s="136"/>
      <c r="W75" s="137"/>
    </row>
    <row r="76" spans="1:23" ht="18" customHeight="1" x14ac:dyDescent="0.2">
      <c r="A76" s="9">
        <f>75</f>
        <v>75</v>
      </c>
      <c r="B76" s="131"/>
      <c r="C76" s="131"/>
      <c r="D76" s="132"/>
      <c r="E76" s="133"/>
      <c r="F76" s="132"/>
      <c r="G76" s="134"/>
      <c r="H76" s="134"/>
      <c r="I76" s="134"/>
      <c r="J76" s="134"/>
      <c r="K76" s="10" t="str">
        <f t="shared" si="8"/>
        <v/>
      </c>
      <c r="L76" s="10" t="str">
        <f t="shared" si="9"/>
        <v/>
      </c>
      <c r="M76" s="132"/>
      <c r="N76" s="135"/>
      <c r="O76" s="11" t="str">
        <f t="shared" si="10"/>
        <v/>
      </c>
      <c r="P76" s="12">
        <f t="shared" si="11"/>
        <v>4000</v>
      </c>
      <c r="Q76" s="132"/>
      <c r="R76" s="132"/>
      <c r="S76" s="132"/>
      <c r="T76" s="132"/>
      <c r="U76" s="13" t="str">
        <f>IFERROR(IF(AND(B76&lt;&gt;"",C76&lt;&gt;""),_xludf.DAYS(C76,B76),""),"—")</f>
        <v/>
      </c>
      <c r="V76" s="136"/>
      <c r="W76" s="137"/>
    </row>
    <row r="77" spans="1:23" ht="18" customHeight="1" x14ac:dyDescent="0.2">
      <c r="A77" s="9">
        <f>76</f>
        <v>76</v>
      </c>
      <c r="B77" s="131"/>
      <c r="C77" s="131"/>
      <c r="D77" s="132"/>
      <c r="E77" s="133"/>
      <c r="F77" s="132"/>
      <c r="G77" s="134"/>
      <c r="H77" s="134"/>
      <c r="I77" s="134"/>
      <c r="J77" s="134"/>
      <c r="K77" s="10" t="str">
        <f t="shared" si="8"/>
        <v/>
      </c>
      <c r="L77" s="10" t="str">
        <f t="shared" si="9"/>
        <v/>
      </c>
      <c r="M77" s="132"/>
      <c r="N77" s="135"/>
      <c r="O77" s="11" t="str">
        <f t="shared" si="10"/>
        <v/>
      </c>
      <c r="P77" s="12">
        <f t="shared" si="11"/>
        <v>4000</v>
      </c>
      <c r="Q77" s="132"/>
      <c r="R77" s="132"/>
      <c r="S77" s="132"/>
      <c r="T77" s="132"/>
      <c r="U77" s="13" t="str">
        <f>IFERROR(IF(AND(B77&lt;&gt;"",C77&lt;&gt;""),_xludf.DAYS(C77,B77),""),"—")</f>
        <v/>
      </c>
      <c r="V77" s="136"/>
      <c r="W77" s="137"/>
    </row>
    <row r="78" spans="1:23" ht="18" customHeight="1" x14ac:dyDescent="0.2">
      <c r="A78" s="9">
        <f>77</f>
        <v>77</v>
      </c>
      <c r="B78" s="131"/>
      <c r="C78" s="131"/>
      <c r="D78" s="132"/>
      <c r="E78" s="133"/>
      <c r="F78" s="132"/>
      <c r="G78" s="134"/>
      <c r="H78" s="134"/>
      <c r="I78" s="134"/>
      <c r="J78" s="134"/>
      <c r="K78" s="10" t="str">
        <f t="shared" si="8"/>
        <v/>
      </c>
      <c r="L78" s="10" t="str">
        <f t="shared" si="9"/>
        <v/>
      </c>
      <c r="M78" s="132"/>
      <c r="N78" s="135"/>
      <c r="O78" s="11" t="str">
        <f t="shared" si="10"/>
        <v/>
      </c>
      <c r="P78" s="12">
        <f t="shared" si="11"/>
        <v>4000</v>
      </c>
      <c r="Q78" s="132"/>
      <c r="R78" s="132"/>
      <c r="S78" s="132"/>
      <c r="T78" s="132"/>
      <c r="U78" s="13" t="str">
        <f>IFERROR(IF(AND(B78&lt;&gt;"",C78&lt;&gt;""),_xludf.DAYS(C78,B78),""),"—")</f>
        <v/>
      </c>
      <c r="V78" s="136"/>
      <c r="W78" s="137"/>
    </row>
    <row r="79" spans="1:23" ht="18" customHeight="1" x14ac:dyDescent="0.2">
      <c r="A79" s="9">
        <f>78</f>
        <v>78</v>
      </c>
      <c r="B79" s="131"/>
      <c r="C79" s="131"/>
      <c r="D79" s="132"/>
      <c r="E79" s="133"/>
      <c r="F79" s="132"/>
      <c r="G79" s="134"/>
      <c r="H79" s="134"/>
      <c r="I79" s="134"/>
      <c r="J79" s="134"/>
      <c r="K79" s="10" t="str">
        <f t="shared" si="8"/>
        <v/>
      </c>
      <c r="L79" s="10" t="str">
        <f t="shared" si="9"/>
        <v/>
      </c>
      <c r="M79" s="132"/>
      <c r="N79" s="135"/>
      <c r="O79" s="11" t="str">
        <f t="shared" si="10"/>
        <v/>
      </c>
      <c r="P79" s="12">
        <f t="shared" si="11"/>
        <v>4000</v>
      </c>
      <c r="Q79" s="132"/>
      <c r="R79" s="132"/>
      <c r="S79" s="132"/>
      <c r="T79" s="132"/>
      <c r="U79" s="13" t="str">
        <f>IFERROR(IF(AND(B79&lt;&gt;"",C79&lt;&gt;""),_xludf.DAYS(C79,B79),""),"—")</f>
        <v/>
      </c>
      <c r="V79" s="136"/>
      <c r="W79" s="137"/>
    </row>
    <row r="80" spans="1:23" ht="18" customHeight="1" x14ac:dyDescent="0.2">
      <c r="A80" s="9">
        <f>79</f>
        <v>79</v>
      </c>
      <c r="B80" s="131"/>
      <c r="C80" s="131"/>
      <c r="D80" s="132"/>
      <c r="E80" s="133"/>
      <c r="F80" s="132"/>
      <c r="G80" s="134"/>
      <c r="H80" s="134"/>
      <c r="I80" s="134"/>
      <c r="J80" s="134"/>
      <c r="K80" s="10" t="str">
        <f t="shared" si="8"/>
        <v/>
      </c>
      <c r="L80" s="10" t="str">
        <f t="shared" si="9"/>
        <v/>
      </c>
      <c r="M80" s="132"/>
      <c r="N80" s="135"/>
      <c r="O80" s="11" t="str">
        <f t="shared" si="10"/>
        <v/>
      </c>
      <c r="P80" s="12">
        <f t="shared" si="11"/>
        <v>4000</v>
      </c>
      <c r="Q80" s="132"/>
      <c r="R80" s="132"/>
      <c r="S80" s="132"/>
      <c r="T80" s="132"/>
      <c r="U80" s="13" t="str">
        <f>IFERROR(IF(AND(B80&lt;&gt;"",C80&lt;&gt;""),_xludf.DAYS(C80,B80),""),"—")</f>
        <v/>
      </c>
      <c r="V80" s="136"/>
      <c r="W80" s="137"/>
    </row>
    <row r="81" spans="1:23" ht="18" customHeight="1" x14ac:dyDescent="0.2">
      <c r="A81" s="9">
        <f>80</f>
        <v>80</v>
      </c>
      <c r="B81" s="131"/>
      <c r="C81" s="131"/>
      <c r="D81" s="132"/>
      <c r="E81" s="133"/>
      <c r="F81" s="132"/>
      <c r="G81" s="134"/>
      <c r="H81" s="134"/>
      <c r="I81" s="134"/>
      <c r="J81" s="134"/>
      <c r="K81" s="10" t="str">
        <f t="shared" si="8"/>
        <v/>
      </c>
      <c r="L81" s="10" t="str">
        <f t="shared" si="9"/>
        <v/>
      </c>
      <c r="M81" s="132"/>
      <c r="N81" s="135"/>
      <c r="O81" s="11" t="str">
        <f t="shared" si="10"/>
        <v/>
      </c>
      <c r="P81" s="12">
        <f t="shared" si="11"/>
        <v>4000</v>
      </c>
      <c r="Q81" s="132"/>
      <c r="R81" s="132"/>
      <c r="S81" s="132"/>
      <c r="T81" s="132"/>
      <c r="U81" s="13" t="str">
        <f>IFERROR(IF(AND(B81&lt;&gt;"",C81&lt;&gt;""),_xludf.DAYS(C81,B81),""),"—")</f>
        <v/>
      </c>
      <c r="V81" s="136"/>
      <c r="W81" s="137"/>
    </row>
    <row r="82" spans="1:23" ht="18" customHeight="1" x14ac:dyDescent="0.2">
      <c r="A82" s="9">
        <f>81</f>
        <v>81</v>
      </c>
      <c r="B82" s="131"/>
      <c r="C82" s="131"/>
      <c r="D82" s="132"/>
      <c r="E82" s="133"/>
      <c r="F82" s="132"/>
      <c r="G82" s="134"/>
      <c r="H82" s="134"/>
      <c r="I82" s="134"/>
      <c r="J82" s="134"/>
      <c r="K82" s="10" t="str">
        <f t="shared" si="8"/>
        <v/>
      </c>
      <c r="L82" s="10" t="str">
        <f t="shared" si="9"/>
        <v/>
      </c>
      <c r="M82" s="132"/>
      <c r="N82" s="135"/>
      <c r="O82" s="11" t="str">
        <f t="shared" si="10"/>
        <v/>
      </c>
      <c r="P82" s="12">
        <f t="shared" si="11"/>
        <v>4000</v>
      </c>
      <c r="Q82" s="132"/>
      <c r="R82" s="132"/>
      <c r="S82" s="132"/>
      <c r="T82" s="132"/>
      <c r="U82" s="13" t="str">
        <f>IFERROR(IF(AND(B82&lt;&gt;"",C82&lt;&gt;""),_xludf.DAYS(C82,B82),""),"—")</f>
        <v/>
      </c>
      <c r="V82" s="136"/>
      <c r="W82" s="137"/>
    </row>
    <row r="83" spans="1:23" ht="18" customHeight="1" x14ac:dyDescent="0.2">
      <c r="A83" s="9">
        <f>82</f>
        <v>82</v>
      </c>
      <c r="B83" s="131"/>
      <c r="C83" s="131"/>
      <c r="D83" s="132"/>
      <c r="E83" s="133"/>
      <c r="F83" s="132"/>
      <c r="G83" s="134"/>
      <c r="H83" s="134"/>
      <c r="I83" s="134"/>
      <c r="J83" s="134"/>
      <c r="K83" s="10" t="str">
        <f t="shared" si="8"/>
        <v/>
      </c>
      <c r="L83" s="10" t="str">
        <f t="shared" si="9"/>
        <v/>
      </c>
      <c r="M83" s="132"/>
      <c r="N83" s="135"/>
      <c r="O83" s="11" t="str">
        <f t="shared" si="10"/>
        <v/>
      </c>
      <c r="P83" s="12">
        <f t="shared" si="11"/>
        <v>4000</v>
      </c>
      <c r="Q83" s="132"/>
      <c r="R83" s="132"/>
      <c r="S83" s="132"/>
      <c r="T83" s="132"/>
      <c r="U83" s="13" t="str">
        <f>IFERROR(IF(AND(B83&lt;&gt;"",C83&lt;&gt;""),_xludf.DAYS(C83,B83),""),"—")</f>
        <v/>
      </c>
      <c r="V83" s="136"/>
      <c r="W83" s="137"/>
    </row>
    <row r="84" spans="1:23" ht="18" customHeight="1" x14ac:dyDescent="0.2">
      <c r="A84" s="9">
        <f>83</f>
        <v>83</v>
      </c>
      <c r="B84" s="131"/>
      <c r="C84" s="131"/>
      <c r="D84" s="132"/>
      <c r="E84" s="133"/>
      <c r="F84" s="132"/>
      <c r="G84" s="134"/>
      <c r="H84" s="134"/>
      <c r="I84" s="134"/>
      <c r="J84" s="134"/>
      <c r="K84" s="10" t="str">
        <f t="shared" si="8"/>
        <v/>
      </c>
      <c r="L84" s="10" t="str">
        <f t="shared" si="9"/>
        <v/>
      </c>
      <c r="M84" s="132"/>
      <c r="N84" s="135"/>
      <c r="O84" s="11" t="str">
        <f t="shared" si="10"/>
        <v/>
      </c>
      <c r="P84" s="12">
        <f t="shared" si="11"/>
        <v>4000</v>
      </c>
      <c r="Q84" s="132"/>
      <c r="R84" s="132"/>
      <c r="S84" s="132"/>
      <c r="T84" s="132"/>
      <c r="U84" s="13" t="str">
        <f>IFERROR(IF(AND(B84&lt;&gt;"",C84&lt;&gt;""),_xludf.DAYS(C84,B84),""),"—")</f>
        <v/>
      </c>
      <c r="V84" s="136"/>
      <c r="W84" s="137"/>
    </row>
    <row r="85" spans="1:23" ht="18" customHeight="1" x14ac:dyDescent="0.2">
      <c r="A85" s="9">
        <f>84</f>
        <v>84</v>
      </c>
      <c r="B85" s="131"/>
      <c r="C85" s="131"/>
      <c r="D85" s="132"/>
      <c r="E85" s="133"/>
      <c r="F85" s="132"/>
      <c r="G85" s="134"/>
      <c r="H85" s="134"/>
      <c r="I85" s="134"/>
      <c r="J85" s="134"/>
      <c r="K85" s="10" t="str">
        <f t="shared" si="8"/>
        <v/>
      </c>
      <c r="L85" s="10" t="str">
        <f t="shared" si="9"/>
        <v/>
      </c>
      <c r="M85" s="132"/>
      <c r="N85" s="135"/>
      <c r="O85" s="11" t="str">
        <f t="shared" si="10"/>
        <v/>
      </c>
      <c r="P85" s="12">
        <f t="shared" si="11"/>
        <v>4000</v>
      </c>
      <c r="Q85" s="132"/>
      <c r="R85" s="132"/>
      <c r="S85" s="132"/>
      <c r="T85" s="132"/>
      <c r="U85" s="13" t="str">
        <f>IFERROR(IF(AND(B85&lt;&gt;"",C85&lt;&gt;""),_xludf.DAYS(C85,B85),""),"—")</f>
        <v/>
      </c>
      <c r="V85" s="136"/>
      <c r="W85" s="137"/>
    </row>
    <row r="86" spans="1:23" ht="18" customHeight="1" x14ac:dyDescent="0.2">
      <c r="A86" s="9">
        <f>85</f>
        <v>85</v>
      </c>
      <c r="B86" s="131"/>
      <c r="C86" s="131"/>
      <c r="D86" s="132"/>
      <c r="E86" s="133"/>
      <c r="F86" s="132"/>
      <c r="G86" s="134"/>
      <c r="H86" s="134"/>
      <c r="I86" s="134"/>
      <c r="J86" s="134"/>
      <c r="K86" s="10" t="str">
        <f t="shared" si="8"/>
        <v/>
      </c>
      <c r="L86" s="10" t="str">
        <f t="shared" si="9"/>
        <v/>
      </c>
      <c r="M86" s="132"/>
      <c r="N86" s="135"/>
      <c r="O86" s="11" t="str">
        <f t="shared" si="10"/>
        <v/>
      </c>
      <c r="P86" s="12">
        <f t="shared" si="11"/>
        <v>4000</v>
      </c>
      <c r="Q86" s="132"/>
      <c r="R86" s="132"/>
      <c r="S86" s="132"/>
      <c r="T86" s="132"/>
      <c r="U86" s="13" t="str">
        <f>IFERROR(IF(AND(B86&lt;&gt;"",C86&lt;&gt;""),_xludf.DAYS(C86,B86),""),"—")</f>
        <v/>
      </c>
      <c r="V86" s="136"/>
      <c r="W86" s="137"/>
    </row>
    <row r="87" spans="1:23" ht="18" customHeight="1" x14ac:dyDescent="0.2">
      <c r="A87" s="9">
        <f>86</f>
        <v>86</v>
      </c>
      <c r="B87" s="131"/>
      <c r="C87" s="131"/>
      <c r="D87" s="132"/>
      <c r="E87" s="133"/>
      <c r="F87" s="132"/>
      <c r="G87" s="134"/>
      <c r="H87" s="134"/>
      <c r="I87" s="134"/>
      <c r="J87" s="134"/>
      <c r="K87" s="10" t="str">
        <f t="shared" si="8"/>
        <v/>
      </c>
      <c r="L87" s="10" t="str">
        <f t="shared" si="9"/>
        <v/>
      </c>
      <c r="M87" s="132"/>
      <c r="N87" s="135"/>
      <c r="O87" s="11" t="str">
        <f t="shared" si="10"/>
        <v/>
      </c>
      <c r="P87" s="12">
        <f t="shared" si="11"/>
        <v>4000</v>
      </c>
      <c r="Q87" s="132"/>
      <c r="R87" s="132"/>
      <c r="S87" s="132"/>
      <c r="T87" s="132"/>
      <c r="U87" s="13" t="str">
        <f>IFERROR(IF(AND(B87&lt;&gt;"",C87&lt;&gt;""),_xludf.DAYS(C87,B87),""),"—")</f>
        <v/>
      </c>
      <c r="V87" s="136"/>
      <c r="W87" s="137"/>
    </row>
    <row r="88" spans="1:23" ht="18" customHeight="1" x14ac:dyDescent="0.2">
      <c r="A88" s="9">
        <f>87</f>
        <v>87</v>
      </c>
      <c r="B88" s="131"/>
      <c r="C88" s="131"/>
      <c r="D88" s="132"/>
      <c r="E88" s="133"/>
      <c r="F88" s="132"/>
      <c r="G88" s="134"/>
      <c r="H88" s="134"/>
      <c r="I88" s="134"/>
      <c r="J88" s="134"/>
      <c r="K88" s="10" t="str">
        <f t="shared" si="8"/>
        <v/>
      </c>
      <c r="L88" s="10" t="str">
        <f t="shared" si="9"/>
        <v/>
      </c>
      <c r="M88" s="132"/>
      <c r="N88" s="135"/>
      <c r="O88" s="11" t="str">
        <f t="shared" si="10"/>
        <v/>
      </c>
      <c r="P88" s="12">
        <f t="shared" si="11"/>
        <v>4000</v>
      </c>
      <c r="Q88" s="132"/>
      <c r="R88" s="132"/>
      <c r="S88" s="132"/>
      <c r="T88" s="132"/>
      <c r="U88" s="13" t="str">
        <f>IFERROR(IF(AND(B88&lt;&gt;"",C88&lt;&gt;""),_xludf.DAYS(C88,B88),""),"—")</f>
        <v/>
      </c>
      <c r="V88" s="136"/>
      <c r="W88" s="137"/>
    </row>
    <row r="89" spans="1:23" ht="18" customHeight="1" x14ac:dyDescent="0.2">
      <c r="A89" s="9">
        <f>88</f>
        <v>88</v>
      </c>
      <c r="B89" s="131"/>
      <c r="C89" s="131"/>
      <c r="D89" s="132"/>
      <c r="E89" s="133"/>
      <c r="F89" s="132"/>
      <c r="G89" s="134"/>
      <c r="H89" s="134"/>
      <c r="I89" s="134"/>
      <c r="J89" s="134"/>
      <c r="K89" s="10" t="str">
        <f t="shared" si="8"/>
        <v/>
      </c>
      <c r="L89" s="10" t="str">
        <f t="shared" si="9"/>
        <v/>
      </c>
      <c r="M89" s="132"/>
      <c r="N89" s="135"/>
      <c r="O89" s="11" t="str">
        <f t="shared" si="10"/>
        <v/>
      </c>
      <c r="P89" s="12">
        <f t="shared" si="11"/>
        <v>4000</v>
      </c>
      <c r="Q89" s="132"/>
      <c r="R89" s="132"/>
      <c r="S89" s="132"/>
      <c r="T89" s="132"/>
      <c r="U89" s="13" t="str">
        <f>IFERROR(IF(AND(B89&lt;&gt;"",C89&lt;&gt;""),_xludf.DAYS(C89,B89),""),"—")</f>
        <v/>
      </c>
      <c r="V89" s="136"/>
      <c r="W89" s="137"/>
    </row>
    <row r="90" spans="1:23" ht="18" customHeight="1" x14ac:dyDescent="0.2">
      <c r="A90" s="9">
        <f>89</f>
        <v>89</v>
      </c>
      <c r="B90" s="131"/>
      <c r="C90" s="131"/>
      <c r="D90" s="132"/>
      <c r="E90" s="133"/>
      <c r="F90" s="132"/>
      <c r="G90" s="134"/>
      <c r="H90" s="134"/>
      <c r="I90" s="134"/>
      <c r="J90" s="134"/>
      <c r="K90" s="10" t="str">
        <f t="shared" si="8"/>
        <v/>
      </c>
      <c r="L90" s="10" t="str">
        <f t="shared" si="9"/>
        <v/>
      </c>
      <c r="M90" s="132"/>
      <c r="N90" s="135"/>
      <c r="O90" s="11" t="str">
        <f t="shared" si="10"/>
        <v/>
      </c>
      <c r="P90" s="12">
        <f t="shared" si="11"/>
        <v>4000</v>
      </c>
      <c r="Q90" s="132"/>
      <c r="R90" s="132"/>
      <c r="S90" s="132"/>
      <c r="T90" s="132"/>
      <c r="U90" s="13" t="str">
        <f>IFERROR(IF(AND(B90&lt;&gt;"",C90&lt;&gt;""),_xludf.DAYS(C90,B90),""),"—")</f>
        <v/>
      </c>
      <c r="V90" s="136"/>
      <c r="W90" s="137"/>
    </row>
    <row r="91" spans="1:23" ht="18" customHeight="1" x14ac:dyDescent="0.2">
      <c r="A91" s="9">
        <f>90</f>
        <v>90</v>
      </c>
      <c r="B91" s="131"/>
      <c r="C91" s="131"/>
      <c r="D91" s="132"/>
      <c r="E91" s="133"/>
      <c r="F91" s="132"/>
      <c r="G91" s="134"/>
      <c r="H91" s="134"/>
      <c r="I91" s="134"/>
      <c r="J91" s="134"/>
      <c r="K91" s="10" t="str">
        <f t="shared" si="8"/>
        <v/>
      </c>
      <c r="L91" s="10" t="str">
        <f t="shared" si="9"/>
        <v/>
      </c>
      <c r="M91" s="132"/>
      <c r="N91" s="135"/>
      <c r="O91" s="11" t="str">
        <f t="shared" si="10"/>
        <v/>
      </c>
      <c r="P91" s="12">
        <f t="shared" si="11"/>
        <v>4000</v>
      </c>
      <c r="Q91" s="132"/>
      <c r="R91" s="132"/>
      <c r="S91" s="132"/>
      <c r="T91" s="132"/>
      <c r="U91" s="13" t="str">
        <f>IFERROR(IF(AND(B91&lt;&gt;"",C91&lt;&gt;""),_xludf.DAYS(C91,B91),""),"—")</f>
        <v/>
      </c>
      <c r="V91" s="136"/>
      <c r="W91" s="137"/>
    </row>
    <row r="92" spans="1:23" ht="18" customHeight="1" x14ac:dyDescent="0.2">
      <c r="A92" s="9">
        <f>91</f>
        <v>91</v>
      </c>
      <c r="B92" s="131"/>
      <c r="C92" s="131"/>
      <c r="D92" s="132"/>
      <c r="E92" s="133"/>
      <c r="F92" s="132"/>
      <c r="G92" s="134"/>
      <c r="H92" s="134"/>
      <c r="I92" s="134"/>
      <c r="J92" s="134"/>
      <c r="K92" s="10" t="str">
        <f t="shared" si="8"/>
        <v/>
      </c>
      <c r="L92" s="10" t="str">
        <f t="shared" si="9"/>
        <v/>
      </c>
      <c r="M92" s="132"/>
      <c r="N92" s="135"/>
      <c r="O92" s="11" t="str">
        <f t="shared" si="10"/>
        <v/>
      </c>
      <c r="P92" s="12">
        <f t="shared" si="11"/>
        <v>4000</v>
      </c>
      <c r="Q92" s="132"/>
      <c r="R92" s="132"/>
      <c r="S92" s="132"/>
      <c r="T92" s="132"/>
      <c r="U92" s="13" t="str">
        <f>IFERROR(IF(AND(B92&lt;&gt;"",C92&lt;&gt;""),_xludf.DAYS(C92,B92),""),"—")</f>
        <v/>
      </c>
      <c r="V92" s="136"/>
      <c r="W92" s="137"/>
    </row>
    <row r="93" spans="1:23" ht="18" customHeight="1" x14ac:dyDescent="0.2">
      <c r="A93" s="9">
        <f>92</f>
        <v>92</v>
      </c>
      <c r="B93" s="131"/>
      <c r="C93" s="131"/>
      <c r="D93" s="132"/>
      <c r="E93" s="133"/>
      <c r="F93" s="132"/>
      <c r="G93" s="134"/>
      <c r="H93" s="134"/>
      <c r="I93" s="134"/>
      <c r="J93" s="134"/>
      <c r="K93" s="10" t="str">
        <f t="shared" si="8"/>
        <v/>
      </c>
      <c r="L93" s="10" t="str">
        <f t="shared" si="9"/>
        <v/>
      </c>
      <c r="M93" s="132"/>
      <c r="N93" s="135"/>
      <c r="O93" s="11" t="str">
        <f t="shared" si="10"/>
        <v/>
      </c>
      <c r="P93" s="12">
        <f t="shared" si="11"/>
        <v>4000</v>
      </c>
      <c r="Q93" s="132"/>
      <c r="R93" s="132"/>
      <c r="S93" s="132"/>
      <c r="T93" s="132"/>
      <c r="U93" s="13" t="str">
        <f>IFERROR(IF(AND(B93&lt;&gt;"",C93&lt;&gt;""),_xludf.DAYS(C93,B93),""),"—")</f>
        <v/>
      </c>
      <c r="V93" s="136"/>
      <c r="W93" s="137"/>
    </row>
    <row r="94" spans="1:23" ht="18" customHeight="1" x14ac:dyDescent="0.2">
      <c r="A94" s="9">
        <f>93</f>
        <v>93</v>
      </c>
      <c r="B94" s="131"/>
      <c r="C94" s="131"/>
      <c r="D94" s="132"/>
      <c r="E94" s="133"/>
      <c r="F94" s="132"/>
      <c r="G94" s="134"/>
      <c r="H94" s="134"/>
      <c r="I94" s="134"/>
      <c r="J94" s="134"/>
      <c r="K94" s="10" t="str">
        <f t="shared" si="8"/>
        <v/>
      </c>
      <c r="L94" s="10" t="str">
        <f t="shared" si="9"/>
        <v/>
      </c>
      <c r="M94" s="132"/>
      <c r="N94" s="135"/>
      <c r="O94" s="11" t="str">
        <f t="shared" si="10"/>
        <v/>
      </c>
      <c r="P94" s="12">
        <f t="shared" si="11"/>
        <v>4000</v>
      </c>
      <c r="Q94" s="132"/>
      <c r="R94" s="132"/>
      <c r="S94" s="132"/>
      <c r="T94" s="132"/>
      <c r="U94" s="13" t="str">
        <f>IFERROR(IF(AND(B94&lt;&gt;"",C94&lt;&gt;""),_xludf.DAYS(C94,B94),""),"—")</f>
        <v/>
      </c>
      <c r="V94" s="136"/>
      <c r="W94" s="137"/>
    </row>
    <row r="95" spans="1:23" ht="18" customHeight="1" x14ac:dyDescent="0.2">
      <c r="A95" s="9">
        <f>94</f>
        <v>94</v>
      </c>
      <c r="B95" s="131"/>
      <c r="C95" s="131"/>
      <c r="D95" s="132"/>
      <c r="E95" s="133"/>
      <c r="F95" s="132"/>
      <c r="G95" s="134"/>
      <c r="H95" s="134"/>
      <c r="I95" s="134"/>
      <c r="J95" s="134"/>
      <c r="K95" s="10" t="str">
        <f t="shared" si="8"/>
        <v/>
      </c>
      <c r="L95" s="10" t="str">
        <f t="shared" si="9"/>
        <v/>
      </c>
      <c r="M95" s="132"/>
      <c r="N95" s="135"/>
      <c r="O95" s="11" t="str">
        <f t="shared" si="10"/>
        <v/>
      </c>
      <c r="P95" s="12">
        <f t="shared" si="11"/>
        <v>4000</v>
      </c>
      <c r="Q95" s="132"/>
      <c r="R95" s="132"/>
      <c r="S95" s="132"/>
      <c r="T95" s="132"/>
      <c r="U95" s="13" t="str">
        <f>IFERROR(IF(AND(B95&lt;&gt;"",C95&lt;&gt;""),_xludf.DAYS(C95,B95),""),"—")</f>
        <v/>
      </c>
      <c r="V95" s="136"/>
      <c r="W95" s="137"/>
    </row>
    <row r="96" spans="1:23" ht="18" customHeight="1" x14ac:dyDescent="0.2">
      <c r="A96" s="9">
        <f>95</f>
        <v>95</v>
      </c>
      <c r="B96" s="131"/>
      <c r="C96" s="131"/>
      <c r="D96" s="132"/>
      <c r="E96" s="133"/>
      <c r="F96" s="132"/>
      <c r="G96" s="134"/>
      <c r="H96" s="134"/>
      <c r="I96" s="134"/>
      <c r="J96" s="134"/>
      <c r="K96" s="10" t="str">
        <f t="shared" si="8"/>
        <v/>
      </c>
      <c r="L96" s="10" t="str">
        <f t="shared" si="9"/>
        <v/>
      </c>
      <c r="M96" s="132"/>
      <c r="N96" s="135"/>
      <c r="O96" s="11" t="str">
        <f t="shared" si="10"/>
        <v/>
      </c>
      <c r="P96" s="12">
        <f t="shared" si="11"/>
        <v>4000</v>
      </c>
      <c r="Q96" s="132"/>
      <c r="R96" s="132"/>
      <c r="S96" s="132"/>
      <c r="T96" s="132"/>
      <c r="U96" s="13" t="str">
        <f>IFERROR(IF(AND(B96&lt;&gt;"",C96&lt;&gt;""),_xludf.DAYS(C96,B96),""),"—")</f>
        <v/>
      </c>
      <c r="V96" s="136"/>
      <c r="W96" s="137"/>
    </row>
    <row r="97" spans="1:23" ht="18" customHeight="1" x14ac:dyDescent="0.2">
      <c r="A97" s="9">
        <f>96</f>
        <v>96</v>
      </c>
      <c r="B97" s="131"/>
      <c r="C97" s="131"/>
      <c r="D97" s="132"/>
      <c r="E97" s="133"/>
      <c r="F97" s="132"/>
      <c r="G97" s="134"/>
      <c r="H97" s="134"/>
      <c r="I97" s="134"/>
      <c r="J97" s="134"/>
      <c r="K97" s="10" t="str">
        <f t="shared" si="8"/>
        <v/>
      </c>
      <c r="L97" s="10" t="str">
        <f t="shared" si="9"/>
        <v/>
      </c>
      <c r="M97" s="132"/>
      <c r="N97" s="135"/>
      <c r="O97" s="11" t="str">
        <f t="shared" si="10"/>
        <v/>
      </c>
      <c r="P97" s="12">
        <f t="shared" si="11"/>
        <v>4000</v>
      </c>
      <c r="Q97" s="132"/>
      <c r="R97" s="132"/>
      <c r="S97" s="132"/>
      <c r="T97" s="132"/>
      <c r="U97" s="13" t="str">
        <f>IFERROR(IF(AND(B97&lt;&gt;"",C97&lt;&gt;""),_xludf.DAYS(C97,B97),""),"—")</f>
        <v/>
      </c>
      <c r="V97" s="136"/>
      <c r="W97" s="137"/>
    </row>
    <row r="98" spans="1:23" ht="18" customHeight="1" x14ac:dyDescent="0.2">
      <c r="A98" s="9">
        <f>97</f>
        <v>97</v>
      </c>
      <c r="B98" s="131"/>
      <c r="C98" s="131"/>
      <c r="D98" s="132"/>
      <c r="E98" s="133"/>
      <c r="F98" s="132"/>
      <c r="G98" s="134"/>
      <c r="H98" s="134"/>
      <c r="I98" s="134"/>
      <c r="J98" s="134"/>
      <c r="K98" s="10" t="str">
        <f t="shared" ref="K98:K129" si="12">IFERROR(IF(F98="Mua",(I98-G98)/(G98-H98),(G98-I98)/(H98-G98)),"")</f>
        <v/>
      </c>
      <c r="L98" s="10" t="str">
        <f t="shared" ref="L98:L129" si="13">IFERROR(IF(F98="Mua",(J98-G98)/(G98-H98),(G98-J98)/(H98-G98)),"")</f>
        <v/>
      </c>
      <c r="M98" s="132"/>
      <c r="N98" s="135"/>
      <c r="O98" s="11" t="str">
        <f t="shared" si="10"/>
        <v/>
      </c>
      <c r="P98" s="12">
        <f t="shared" si="11"/>
        <v>4000</v>
      </c>
      <c r="Q98" s="132"/>
      <c r="R98" s="132"/>
      <c r="S98" s="132"/>
      <c r="T98" s="132"/>
      <c r="U98" s="13" t="str">
        <f>IFERROR(IF(AND(B98&lt;&gt;"",C98&lt;&gt;""),_xludf.DAYS(C98,B98),""),"—")</f>
        <v/>
      </c>
      <c r="V98" s="136"/>
      <c r="W98" s="137"/>
    </row>
    <row r="99" spans="1:23" ht="18" customHeight="1" x14ac:dyDescent="0.2">
      <c r="A99" s="9">
        <f>98</f>
        <v>98</v>
      </c>
      <c r="B99" s="131"/>
      <c r="C99" s="131"/>
      <c r="D99" s="132"/>
      <c r="E99" s="133"/>
      <c r="F99" s="132"/>
      <c r="G99" s="134"/>
      <c r="H99" s="134"/>
      <c r="I99" s="134"/>
      <c r="J99" s="134"/>
      <c r="K99" s="10" t="str">
        <f t="shared" si="12"/>
        <v/>
      </c>
      <c r="L99" s="10" t="str">
        <f t="shared" si="13"/>
        <v/>
      </c>
      <c r="M99" s="132"/>
      <c r="N99" s="135"/>
      <c r="O99" s="11" t="str">
        <f t="shared" ref="O99:O130" si="14">IFERROR(IF(N99&lt;&gt;"",N99/P98,""),"")</f>
        <v/>
      </c>
      <c r="P99" s="12">
        <f t="shared" ref="P99:P130" si="15">IF(N99&lt;&gt;"",P98+N99,P98)</f>
        <v>4000</v>
      </c>
      <c r="Q99" s="132"/>
      <c r="R99" s="132"/>
      <c r="S99" s="132"/>
      <c r="T99" s="132"/>
      <c r="U99" s="13" t="str">
        <f>IFERROR(IF(AND(B99&lt;&gt;"",C99&lt;&gt;""),_xludf.DAYS(C99,B99),""),"—")</f>
        <v/>
      </c>
      <c r="V99" s="136"/>
      <c r="W99" s="137"/>
    </row>
    <row r="100" spans="1:23" ht="18" customHeight="1" x14ac:dyDescent="0.2">
      <c r="A100" s="9">
        <f>99</f>
        <v>99</v>
      </c>
      <c r="B100" s="131"/>
      <c r="C100" s="131"/>
      <c r="D100" s="132"/>
      <c r="E100" s="133"/>
      <c r="F100" s="132"/>
      <c r="G100" s="134"/>
      <c r="H100" s="134"/>
      <c r="I100" s="134"/>
      <c r="J100" s="134"/>
      <c r="K100" s="10" t="str">
        <f t="shared" si="12"/>
        <v/>
      </c>
      <c r="L100" s="10" t="str">
        <f t="shared" si="13"/>
        <v/>
      </c>
      <c r="M100" s="132"/>
      <c r="N100" s="135"/>
      <c r="O100" s="11" t="str">
        <f t="shared" si="14"/>
        <v/>
      </c>
      <c r="P100" s="12">
        <f t="shared" si="15"/>
        <v>4000</v>
      </c>
      <c r="Q100" s="132"/>
      <c r="R100" s="132"/>
      <c r="S100" s="132"/>
      <c r="T100" s="132"/>
      <c r="U100" s="13" t="str">
        <f>IFERROR(IF(AND(B100&lt;&gt;"",C100&lt;&gt;""),_xludf.DAYS(C100,B100),""),"—")</f>
        <v/>
      </c>
      <c r="V100" s="136"/>
      <c r="W100" s="137"/>
    </row>
    <row r="101" spans="1:23" ht="18" customHeight="1" x14ac:dyDescent="0.2">
      <c r="A101" s="9">
        <f>100</f>
        <v>100</v>
      </c>
      <c r="B101" s="131"/>
      <c r="C101" s="131"/>
      <c r="D101" s="132"/>
      <c r="E101" s="133"/>
      <c r="F101" s="132"/>
      <c r="G101" s="134"/>
      <c r="H101" s="134"/>
      <c r="I101" s="134"/>
      <c r="J101" s="134"/>
      <c r="K101" s="10" t="str">
        <f t="shared" si="12"/>
        <v/>
      </c>
      <c r="L101" s="10" t="str">
        <f t="shared" si="13"/>
        <v/>
      </c>
      <c r="M101" s="132"/>
      <c r="N101" s="135"/>
      <c r="O101" s="11" t="str">
        <f t="shared" si="14"/>
        <v/>
      </c>
      <c r="P101" s="12">
        <f t="shared" si="15"/>
        <v>4000</v>
      </c>
      <c r="Q101" s="132"/>
      <c r="R101" s="132"/>
      <c r="S101" s="132"/>
      <c r="T101" s="132"/>
      <c r="U101" s="13" t="str">
        <f>IFERROR(IF(AND(B101&lt;&gt;"",C101&lt;&gt;""),_xludf.DAYS(C101,B101),""),"—")</f>
        <v/>
      </c>
      <c r="V101" s="136"/>
      <c r="W101" s="137"/>
    </row>
    <row r="102" spans="1:23" ht="18" customHeight="1" x14ac:dyDescent="0.2">
      <c r="A102" s="9">
        <f>101</f>
        <v>101</v>
      </c>
      <c r="B102" s="131"/>
      <c r="C102" s="131"/>
      <c r="D102" s="132"/>
      <c r="E102" s="133"/>
      <c r="F102" s="132"/>
      <c r="G102" s="134"/>
      <c r="H102" s="134"/>
      <c r="I102" s="134"/>
      <c r="J102" s="134"/>
      <c r="K102" s="10" t="str">
        <f t="shared" si="12"/>
        <v/>
      </c>
      <c r="L102" s="10" t="str">
        <f t="shared" si="13"/>
        <v/>
      </c>
      <c r="M102" s="132"/>
      <c r="N102" s="135"/>
      <c r="O102" s="11" t="str">
        <f t="shared" si="14"/>
        <v/>
      </c>
      <c r="P102" s="12">
        <f t="shared" si="15"/>
        <v>4000</v>
      </c>
      <c r="Q102" s="132"/>
      <c r="R102" s="132"/>
      <c r="S102" s="132"/>
      <c r="T102" s="132"/>
      <c r="U102" s="13" t="str">
        <f>IFERROR(IF(AND(B102&lt;&gt;"",C102&lt;&gt;""),_xludf.DAYS(C102,B102),""),"—")</f>
        <v/>
      </c>
      <c r="V102" s="136"/>
      <c r="W102" s="137"/>
    </row>
    <row r="103" spans="1:23" ht="18" customHeight="1" x14ac:dyDescent="0.2">
      <c r="A103" s="9">
        <f>102</f>
        <v>102</v>
      </c>
      <c r="B103" s="131"/>
      <c r="C103" s="131"/>
      <c r="D103" s="132"/>
      <c r="E103" s="133"/>
      <c r="F103" s="132"/>
      <c r="G103" s="134"/>
      <c r="H103" s="134"/>
      <c r="I103" s="134"/>
      <c r="J103" s="134"/>
      <c r="K103" s="10" t="str">
        <f t="shared" si="12"/>
        <v/>
      </c>
      <c r="L103" s="10" t="str">
        <f t="shared" si="13"/>
        <v/>
      </c>
      <c r="M103" s="132"/>
      <c r="N103" s="135"/>
      <c r="O103" s="11" t="str">
        <f t="shared" si="14"/>
        <v/>
      </c>
      <c r="P103" s="12">
        <f t="shared" si="15"/>
        <v>4000</v>
      </c>
      <c r="Q103" s="132"/>
      <c r="R103" s="132"/>
      <c r="S103" s="132"/>
      <c r="T103" s="132"/>
      <c r="U103" s="13" t="str">
        <f>IFERROR(IF(AND(B103&lt;&gt;"",C103&lt;&gt;""),_xludf.DAYS(C103,B103),""),"—")</f>
        <v/>
      </c>
      <c r="V103" s="136"/>
      <c r="W103" s="137"/>
    </row>
    <row r="104" spans="1:23" ht="18" customHeight="1" x14ac:dyDescent="0.2">
      <c r="A104" s="9">
        <f>103</f>
        <v>103</v>
      </c>
      <c r="B104" s="131"/>
      <c r="C104" s="131"/>
      <c r="D104" s="132"/>
      <c r="E104" s="133"/>
      <c r="F104" s="132"/>
      <c r="G104" s="134"/>
      <c r="H104" s="134"/>
      <c r="I104" s="134"/>
      <c r="J104" s="134"/>
      <c r="K104" s="10" t="str">
        <f t="shared" si="12"/>
        <v/>
      </c>
      <c r="L104" s="10" t="str">
        <f t="shared" si="13"/>
        <v/>
      </c>
      <c r="M104" s="132"/>
      <c r="N104" s="135"/>
      <c r="O104" s="11" t="str">
        <f t="shared" si="14"/>
        <v/>
      </c>
      <c r="P104" s="12">
        <f t="shared" si="15"/>
        <v>4000</v>
      </c>
      <c r="Q104" s="132"/>
      <c r="R104" s="132"/>
      <c r="S104" s="132"/>
      <c r="T104" s="132"/>
      <c r="U104" s="13" t="str">
        <f>IFERROR(IF(AND(B104&lt;&gt;"",C104&lt;&gt;""),_xludf.DAYS(C104,B104),""),"—")</f>
        <v/>
      </c>
      <c r="V104" s="136"/>
      <c r="W104" s="137"/>
    </row>
    <row r="105" spans="1:23" ht="18" customHeight="1" x14ac:dyDescent="0.2">
      <c r="A105" s="9">
        <f>104</f>
        <v>104</v>
      </c>
      <c r="B105" s="131"/>
      <c r="C105" s="131"/>
      <c r="D105" s="132"/>
      <c r="E105" s="133"/>
      <c r="F105" s="132"/>
      <c r="G105" s="134"/>
      <c r="H105" s="134"/>
      <c r="I105" s="134"/>
      <c r="J105" s="134"/>
      <c r="K105" s="10" t="str">
        <f t="shared" si="12"/>
        <v/>
      </c>
      <c r="L105" s="10" t="str">
        <f t="shared" si="13"/>
        <v/>
      </c>
      <c r="M105" s="132"/>
      <c r="N105" s="135"/>
      <c r="O105" s="11" t="str">
        <f t="shared" si="14"/>
        <v/>
      </c>
      <c r="P105" s="12">
        <f t="shared" si="15"/>
        <v>4000</v>
      </c>
      <c r="Q105" s="132"/>
      <c r="R105" s="132"/>
      <c r="S105" s="132"/>
      <c r="T105" s="132"/>
      <c r="U105" s="13" t="str">
        <f>IFERROR(IF(AND(B105&lt;&gt;"",C105&lt;&gt;""),_xludf.DAYS(C105,B105),""),"—")</f>
        <v/>
      </c>
      <c r="V105" s="136"/>
      <c r="W105" s="137"/>
    </row>
    <row r="106" spans="1:23" ht="18" customHeight="1" x14ac:dyDescent="0.2">
      <c r="A106" s="9">
        <f>105</f>
        <v>105</v>
      </c>
      <c r="B106" s="131"/>
      <c r="C106" s="131"/>
      <c r="D106" s="132"/>
      <c r="E106" s="133"/>
      <c r="F106" s="132"/>
      <c r="G106" s="134"/>
      <c r="H106" s="134"/>
      <c r="I106" s="134"/>
      <c r="J106" s="134"/>
      <c r="K106" s="10" t="str">
        <f t="shared" si="12"/>
        <v/>
      </c>
      <c r="L106" s="10" t="str">
        <f t="shared" si="13"/>
        <v/>
      </c>
      <c r="M106" s="132"/>
      <c r="N106" s="135"/>
      <c r="O106" s="11" t="str">
        <f t="shared" si="14"/>
        <v/>
      </c>
      <c r="P106" s="12">
        <f t="shared" si="15"/>
        <v>4000</v>
      </c>
      <c r="Q106" s="132"/>
      <c r="R106" s="132"/>
      <c r="S106" s="132"/>
      <c r="T106" s="132"/>
      <c r="U106" s="13" t="str">
        <f>IFERROR(IF(AND(B106&lt;&gt;"",C106&lt;&gt;""),_xludf.DAYS(C106,B106),""),"—")</f>
        <v/>
      </c>
      <c r="V106" s="136"/>
      <c r="W106" s="137"/>
    </row>
    <row r="107" spans="1:23" ht="18" customHeight="1" x14ac:dyDescent="0.2">
      <c r="A107" s="9">
        <f>106</f>
        <v>106</v>
      </c>
      <c r="B107" s="131"/>
      <c r="C107" s="131"/>
      <c r="D107" s="132"/>
      <c r="E107" s="133"/>
      <c r="F107" s="132"/>
      <c r="G107" s="134"/>
      <c r="H107" s="134"/>
      <c r="I107" s="134"/>
      <c r="J107" s="134"/>
      <c r="K107" s="10" t="str">
        <f t="shared" si="12"/>
        <v/>
      </c>
      <c r="L107" s="10" t="str">
        <f t="shared" si="13"/>
        <v/>
      </c>
      <c r="M107" s="132"/>
      <c r="N107" s="135"/>
      <c r="O107" s="11" t="str">
        <f t="shared" si="14"/>
        <v/>
      </c>
      <c r="P107" s="12">
        <f t="shared" si="15"/>
        <v>4000</v>
      </c>
      <c r="Q107" s="132"/>
      <c r="R107" s="132"/>
      <c r="S107" s="132"/>
      <c r="T107" s="132"/>
      <c r="U107" s="13" t="str">
        <f>IFERROR(IF(AND(B107&lt;&gt;"",C107&lt;&gt;""),_xludf.DAYS(C107,B107),""),"—")</f>
        <v/>
      </c>
      <c r="V107" s="136"/>
      <c r="W107" s="137"/>
    </row>
    <row r="108" spans="1:23" ht="18" customHeight="1" x14ac:dyDescent="0.2">
      <c r="A108" s="9">
        <f>107</f>
        <v>107</v>
      </c>
      <c r="B108" s="131"/>
      <c r="C108" s="131"/>
      <c r="D108" s="132"/>
      <c r="E108" s="133"/>
      <c r="F108" s="132"/>
      <c r="G108" s="134"/>
      <c r="H108" s="134"/>
      <c r="I108" s="134"/>
      <c r="J108" s="134"/>
      <c r="K108" s="10" t="str">
        <f t="shared" si="12"/>
        <v/>
      </c>
      <c r="L108" s="10" t="str">
        <f t="shared" si="13"/>
        <v/>
      </c>
      <c r="M108" s="132"/>
      <c r="N108" s="135"/>
      <c r="O108" s="11" t="str">
        <f t="shared" si="14"/>
        <v/>
      </c>
      <c r="P108" s="12">
        <f t="shared" si="15"/>
        <v>4000</v>
      </c>
      <c r="Q108" s="132"/>
      <c r="R108" s="132"/>
      <c r="S108" s="132"/>
      <c r="T108" s="132"/>
      <c r="U108" s="13" t="str">
        <f>IFERROR(IF(AND(B108&lt;&gt;"",C108&lt;&gt;""),_xludf.DAYS(C108,B108),""),"—")</f>
        <v/>
      </c>
      <c r="V108" s="136"/>
      <c r="W108" s="137"/>
    </row>
    <row r="109" spans="1:23" ht="18" customHeight="1" x14ac:dyDescent="0.2">
      <c r="A109" s="9">
        <f>108</f>
        <v>108</v>
      </c>
      <c r="B109" s="131"/>
      <c r="C109" s="131"/>
      <c r="D109" s="132"/>
      <c r="E109" s="133"/>
      <c r="F109" s="132"/>
      <c r="G109" s="134"/>
      <c r="H109" s="134"/>
      <c r="I109" s="134"/>
      <c r="J109" s="134"/>
      <c r="K109" s="10" t="str">
        <f t="shared" si="12"/>
        <v/>
      </c>
      <c r="L109" s="10" t="str">
        <f t="shared" si="13"/>
        <v/>
      </c>
      <c r="M109" s="132"/>
      <c r="N109" s="135"/>
      <c r="O109" s="11" t="str">
        <f t="shared" si="14"/>
        <v/>
      </c>
      <c r="P109" s="12">
        <f t="shared" si="15"/>
        <v>4000</v>
      </c>
      <c r="Q109" s="132"/>
      <c r="R109" s="132"/>
      <c r="S109" s="132"/>
      <c r="T109" s="132"/>
      <c r="U109" s="13" t="str">
        <f>IFERROR(IF(AND(B109&lt;&gt;"",C109&lt;&gt;""),_xludf.DAYS(C109,B109),""),"—")</f>
        <v/>
      </c>
      <c r="V109" s="136"/>
      <c r="W109" s="137"/>
    </row>
    <row r="110" spans="1:23" ht="18" customHeight="1" x14ac:dyDescent="0.2">
      <c r="A110" s="9">
        <f>109</f>
        <v>109</v>
      </c>
      <c r="B110" s="131"/>
      <c r="C110" s="131"/>
      <c r="D110" s="132"/>
      <c r="E110" s="133"/>
      <c r="F110" s="132"/>
      <c r="G110" s="134"/>
      <c r="H110" s="134"/>
      <c r="I110" s="134"/>
      <c r="J110" s="134"/>
      <c r="K110" s="10" t="str">
        <f t="shared" si="12"/>
        <v/>
      </c>
      <c r="L110" s="10" t="str">
        <f t="shared" si="13"/>
        <v/>
      </c>
      <c r="M110" s="132"/>
      <c r="N110" s="135"/>
      <c r="O110" s="11" t="str">
        <f t="shared" si="14"/>
        <v/>
      </c>
      <c r="P110" s="12">
        <f t="shared" si="15"/>
        <v>4000</v>
      </c>
      <c r="Q110" s="132"/>
      <c r="R110" s="132"/>
      <c r="S110" s="132"/>
      <c r="T110" s="132"/>
      <c r="U110" s="13" t="str">
        <f>IFERROR(IF(AND(B110&lt;&gt;"",C110&lt;&gt;""),_xludf.DAYS(C110,B110),""),"—")</f>
        <v/>
      </c>
      <c r="V110" s="136"/>
      <c r="W110" s="137"/>
    </row>
    <row r="111" spans="1:23" ht="18" customHeight="1" x14ac:dyDescent="0.2">
      <c r="A111" s="9">
        <f>110</f>
        <v>110</v>
      </c>
      <c r="B111" s="131"/>
      <c r="C111" s="131"/>
      <c r="D111" s="132"/>
      <c r="E111" s="133"/>
      <c r="F111" s="132"/>
      <c r="G111" s="134"/>
      <c r="H111" s="134"/>
      <c r="I111" s="134"/>
      <c r="J111" s="134"/>
      <c r="K111" s="10" t="str">
        <f t="shared" si="12"/>
        <v/>
      </c>
      <c r="L111" s="10" t="str">
        <f t="shared" si="13"/>
        <v/>
      </c>
      <c r="M111" s="132"/>
      <c r="N111" s="135"/>
      <c r="O111" s="11" t="str">
        <f t="shared" si="14"/>
        <v/>
      </c>
      <c r="P111" s="12">
        <f t="shared" si="15"/>
        <v>4000</v>
      </c>
      <c r="Q111" s="132"/>
      <c r="R111" s="132"/>
      <c r="S111" s="132"/>
      <c r="T111" s="132"/>
      <c r="U111" s="13" t="str">
        <f>IFERROR(IF(AND(B111&lt;&gt;"",C111&lt;&gt;""),_xludf.DAYS(C111,B111),""),"—")</f>
        <v/>
      </c>
      <c r="V111" s="136"/>
      <c r="W111" s="137"/>
    </row>
    <row r="112" spans="1:23" ht="18" customHeight="1" x14ac:dyDescent="0.2">
      <c r="A112" s="9">
        <f>111</f>
        <v>111</v>
      </c>
      <c r="B112" s="131"/>
      <c r="C112" s="131"/>
      <c r="D112" s="132"/>
      <c r="E112" s="133"/>
      <c r="F112" s="132"/>
      <c r="G112" s="134"/>
      <c r="H112" s="134"/>
      <c r="I112" s="134"/>
      <c r="J112" s="134"/>
      <c r="K112" s="10" t="str">
        <f t="shared" si="12"/>
        <v/>
      </c>
      <c r="L112" s="10" t="str">
        <f t="shared" si="13"/>
        <v/>
      </c>
      <c r="M112" s="132"/>
      <c r="N112" s="135"/>
      <c r="O112" s="11" t="str">
        <f t="shared" si="14"/>
        <v/>
      </c>
      <c r="P112" s="12">
        <f t="shared" si="15"/>
        <v>4000</v>
      </c>
      <c r="Q112" s="132"/>
      <c r="R112" s="132"/>
      <c r="S112" s="132"/>
      <c r="T112" s="132"/>
      <c r="U112" s="13" t="str">
        <f>IFERROR(IF(AND(B112&lt;&gt;"",C112&lt;&gt;""),_xludf.DAYS(C112,B112),""),"—")</f>
        <v/>
      </c>
      <c r="V112" s="136"/>
      <c r="W112" s="137"/>
    </row>
    <row r="113" spans="1:23" ht="18" customHeight="1" x14ac:dyDescent="0.2">
      <c r="A113" s="9">
        <f>112</f>
        <v>112</v>
      </c>
      <c r="B113" s="131"/>
      <c r="C113" s="131"/>
      <c r="D113" s="132"/>
      <c r="E113" s="133"/>
      <c r="F113" s="132"/>
      <c r="G113" s="134"/>
      <c r="H113" s="134"/>
      <c r="I113" s="134"/>
      <c r="J113" s="134"/>
      <c r="K113" s="10" t="str">
        <f t="shared" si="12"/>
        <v/>
      </c>
      <c r="L113" s="10" t="str">
        <f t="shared" si="13"/>
        <v/>
      </c>
      <c r="M113" s="132"/>
      <c r="N113" s="135"/>
      <c r="O113" s="11" t="str">
        <f t="shared" si="14"/>
        <v/>
      </c>
      <c r="P113" s="12">
        <f t="shared" si="15"/>
        <v>4000</v>
      </c>
      <c r="Q113" s="132"/>
      <c r="R113" s="132"/>
      <c r="S113" s="132"/>
      <c r="T113" s="132"/>
      <c r="U113" s="13" t="str">
        <f>IFERROR(IF(AND(B113&lt;&gt;"",C113&lt;&gt;""),_xludf.DAYS(C113,B113),""),"—")</f>
        <v/>
      </c>
      <c r="V113" s="136"/>
      <c r="W113" s="137"/>
    </row>
    <row r="114" spans="1:23" ht="18" customHeight="1" x14ac:dyDescent="0.2">
      <c r="A114" s="9">
        <f>113</f>
        <v>113</v>
      </c>
      <c r="B114" s="131"/>
      <c r="C114" s="131"/>
      <c r="D114" s="132"/>
      <c r="E114" s="133"/>
      <c r="F114" s="132"/>
      <c r="G114" s="134"/>
      <c r="H114" s="134"/>
      <c r="I114" s="134"/>
      <c r="J114" s="134"/>
      <c r="K114" s="10" t="str">
        <f t="shared" si="12"/>
        <v/>
      </c>
      <c r="L114" s="10" t="str">
        <f t="shared" si="13"/>
        <v/>
      </c>
      <c r="M114" s="132"/>
      <c r="N114" s="135"/>
      <c r="O114" s="11" t="str">
        <f t="shared" si="14"/>
        <v/>
      </c>
      <c r="P114" s="12">
        <f t="shared" si="15"/>
        <v>4000</v>
      </c>
      <c r="Q114" s="132"/>
      <c r="R114" s="132"/>
      <c r="S114" s="132"/>
      <c r="T114" s="132"/>
      <c r="U114" s="13" t="str">
        <f>IFERROR(IF(AND(B114&lt;&gt;"",C114&lt;&gt;""),_xludf.DAYS(C114,B114),""),"—")</f>
        <v/>
      </c>
      <c r="V114" s="136"/>
      <c r="W114" s="137"/>
    </row>
    <row r="115" spans="1:23" ht="18" customHeight="1" x14ac:dyDescent="0.2">
      <c r="A115" s="9">
        <f>114</f>
        <v>114</v>
      </c>
      <c r="B115" s="131"/>
      <c r="C115" s="131"/>
      <c r="D115" s="132"/>
      <c r="E115" s="133"/>
      <c r="F115" s="132"/>
      <c r="G115" s="134"/>
      <c r="H115" s="134"/>
      <c r="I115" s="134"/>
      <c r="J115" s="134"/>
      <c r="K115" s="10" t="str">
        <f t="shared" si="12"/>
        <v/>
      </c>
      <c r="L115" s="10" t="str">
        <f t="shared" si="13"/>
        <v/>
      </c>
      <c r="M115" s="132"/>
      <c r="N115" s="135"/>
      <c r="O115" s="11" t="str">
        <f t="shared" si="14"/>
        <v/>
      </c>
      <c r="P115" s="12">
        <f t="shared" si="15"/>
        <v>4000</v>
      </c>
      <c r="Q115" s="132"/>
      <c r="R115" s="132"/>
      <c r="S115" s="132"/>
      <c r="T115" s="132"/>
      <c r="U115" s="13" t="str">
        <f>IFERROR(IF(AND(B115&lt;&gt;"",C115&lt;&gt;""),_xludf.DAYS(C115,B115),""),"—")</f>
        <v/>
      </c>
      <c r="V115" s="136"/>
      <c r="W115" s="137"/>
    </row>
    <row r="116" spans="1:23" ht="18" customHeight="1" x14ac:dyDescent="0.2">
      <c r="A116" s="9">
        <f>115</f>
        <v>115</v>
      </c>
      <c r="B116" s="131"/>
      <c r="C116" s="131"/>
      <c r="D116" s="132"/>
      <c r="E116" s="133"/>
      <c r="F116" s="132"/>
      <c r="G116" s="134"/>
      <c r="H116" s="134"/>
      <c r="I116" s="134"/>
      <c r="J116" s="134"/>
      <c r="K116" s="10" t="str">
        <f t="shared" si="12"/>
        <v/>
      </c>
      <c r="L116" s="10" t="str">
        <f t="shared" si="13"/>
        <v/>
      </c>
      <c r="M116" s="132"/>
      <c r="N116" s="135"/>
      <c r="O116" s="11" t="str">
        <f t="shared" si="14"/>
        <v/>
      </c>
      <c r="P116" s="12">
        <f t="shared" si="15"/>
        <v>4000</v>
      </c>
      <c r="Q116" s="132"/>
      <c r="R116" s="132"/>
      <c r="S116" s="132"/>
      <c r="T116" s="132"/>
      <c r="U116" s="13" t="str">
        <f>IFERROR(IF(AND(B116&lt;&gt;"",C116&lt;&gt;""),_xludf.DAYS(C116,B116),""),"—")</f>
        <v/>
      </c>
      <c r="V116" s="136"/>
      <c r="W116" s="137"/>
    </row>
    <row r="117" spans="1:23" ht="18" customHeight="1" x14ac:dyDescent="0.2">
      <c r="A117" s="9">
        <f>116</f>
        <v>116</v>
      </c>
      <c r="B117" s="131"/>
      <c r="C117" s="131"/>
      <c r="D117" s="132"/>
      <c r="E117" s="133"/>
      <c r="F117" s="132"/>
      <c r="G117" s="134"/>
      <c r="H117" s="134"/>
      <c r="I117" s="134"/>
      <c r="J117" s="134"/>
      <c r="K117" s="10" t="str">
        <f t="shared" si="12"/>
        <v/>
      </c>
      <c r="L117" s="10" t="str">
        <f t="shared" si="13"/>
        <v/>
      </c>
      <c r="M117" s="132"/>
      <c r="N117" s="135"/>
      <c r="O117" s="11" t="str">
        <f t="shared" si="14"/>
        <v/>
      </c>
      <c r="P117" s="12">
        <f t="shared" si="15"/>
        <v>4000</v>
      </c>
      <c r="Q117" s="132"/>
      <c r="R117" s="132"/>
      <c r="S117" s="132"/>
      <c r="T117" s="132"/>
      <c r="U117" s="13" t="str">
        <f>IFERROR(IF(AND(B117&lt;&gt;"",C117&lt;&gt;""),_xludf.DAYS(C117,B117),""),"—")</f>
        <v/>
      </c>
      <c r="V117" s="136"/>
      <c r="W117" s="137"/>
    </row>
    <row r="118" spans="1:23" ht="18" customHeight="1" x14ac:dyDescent="0.2">
      <c r="A118" s="9">
        <f>117</f>
        <v>117</v>
      </c>
      <c r="B118" s="131"/>
      <c r="C118" s="131"/>
      <c r="D118" s="132"/>
      <c r="E118" s="133"/>
      <c r="F118" s="132"/>
      <c r="G118" s="134"/>
      <c r="H118" s="134"/>
      <c r="I118" s="134"/>
      <c r="J118" s="134"/>
      <c r="K118" s="10" t="str">
        <f t="shared" si="12"/>
        <v/>
      </c>
      <c r="L118" s="10" t="str">
        <f t="shared" si="13"/>
        <v/>
      </c>
      <c r="M118" s="132"/>
      <c r="N118" s="135"/>
      <c r="O118" s="11" t="str">
        <f t="shared" si="14"/>
        <v/>
      </c>
      <c r="P118" s="12">
        <f t="shared" si="15"/>
        <v>4000</v>
      </c>
      <c r="Q118" s="132"/>
      <c r="R118" s="132"/>
      <c r="S118" s="132"/>
      <c r="T118" s="132"/>
      <c r="U118" s="13" t="str">
        <f>IFERROR(IF(AND(B118&lt;&gt;"",C118&lt;&gt;""),_xludf.DAYS(C118,B118),""),"—")</f>
        <v/>
      </c>
      <c r="V118" s="136"/>
      <c r="W118" s="137"/>
    </row>
    <row r="119" spans="1:23" ht="18" customHeight="1" x14ac:dyDescent="0.2">
      <c r="A119" s="9">
        <f>118</f>
        <v>118</v>
      </c>
      <c r="B119" s="131"/>
      <c r="C119" s="131"/>
      <c r="D119" s="132"/>
      <c r="E119" s="133"/>
      <c r="F119" s="132"/>
      <c r="G119" s="134"/>
      <c r="H119" s="134"/>
      <c r="I119" s="134"/>
      <c r="J119" s="134"/>
      <c r="K119" s="10" t="str">
        <f t="shared" si="12"/>
        <v/>
      </c>
      <c r="L119" s="10" t="str">
        <f t="shared" si="13"/>
        <v/>
      </c>
      <c r="M119" s="132"/>
      <c r="N119" s="135"/>
      <c r="O119" s="11" t="str">
        <f t="shared" si="14"/>
        <v/>
      </c>
      <c r="P119" s="12">
        <f t="shared" si="15"/>
        <v>4000</v>
      </c>
      <c r="Q119" s="132"/>
      <c r="R119" s="132"/>
      <c r="S119" s="132"/>
      <c r="T119" s="132"/>
      <c r="U119" s="13" t="str">
        <f>IFERROR(IF(AND(B119&lt;&gt;"",C119&lt;&gt;""),_xludf.DAYS(C119,B119),""),"—")</f>
        <v/>
      </c>
      <c r="V119" s="136"/>
      <c r="W119" s="137"/>
    </row>
    <row r="120" spans="1:23" ht="18" customHeight="1" x14ac:dyDescent="0.2">
      <c r="A120" s="9">
        <f>119</f>
        <v>119</v>
      </c>
      <c r="B120" s="131"/>
      <c r="C120" s="131"/>
      <c r="D120" s="132"/>
      <c r="E120" s="133"/>
      <c r="F120" s="132"/>
      <c r="G120" s="134"/>
      <c r="H120" s="134"/>
      <c r="I120" s="134"/>
      <c r="J120" s="134"/>
      <c r="K120" s="10" t="str">
        <f t="shared" si="12"/>
        <v/>
      </c>
      <c r="L120" s="10" t="str">
        <f t="shared" si="13"/>
        <v/>
      </c>
      <c r="M120" s="132"/>
      <c r="N120" s="135"/>
      <c r="O120" s="11" t="str">
        <f t="shared" si="14"/>
        <v/>
      </c>
      <c r="P120" s="12">
        <f t="shared" si="15"/>
        <v>4000</v>
      </c>
      <c r="Q120" s="132"/>
      <c r="R120" s="132"/>
      <c r="S120" s="132"/>
      <c r="T120" s="132"/>
      <c r="U120" s="13" t="str">
        <f>IFERROR(IF(AND(B120&lt;&gt;"",C120&lt;&gt;""),_xludf.DAYS(C120,B120),""),"—")</f>
        <v/>
      </c>
      <c r="V120" s="136"/>
      <c r="W120" s="137"/>
    </row>
    <row r="121" spans="1:23" ht="18" customHeight="1" x14ac:dyDescent="0.2">
      <c r="A121" s="9">
        <f>120</f>
        <v>120</v>
      </c>
      <c r="B121" s="131"/>
      <c r="C121" s="131"/>
      <c r="D121" s="132"/>
      <c r="E121" s="133"/>
      <c r="F121" s="132"/>
      <c r="G121" s="134"/>
      <c r="H121" s="134"/>
      <c r="I121" s="134"/>
      <c r="J121" s="134"/>
      <c r="K121" s="10" t="str">
        <f t="shared" si="12"/>
        <v/>
      </c>
      <c r="L121" s="10" t="str">
        <f t="shared" si="13"/>
        <v/>
      </c>
      <c r="M121" s="132"/>
      <c r="N121" s="135"/>
      <c r="O121" s="11" t="str">
        <f t="shared" si="14"/>
        <v/>
      </c>
      <c r="P121" s="12">
        <f t="shared" si="15"/>
        <v>4000</v>
      </c>
      <c r="Q121" s="132"/>
      <c r="R121" s="132"/>
      <c r="S121" s="132"/>
      <c r="T121" s="132"/>
      <c r="U121" s="13" t="str">
        <f>IFERROR(IF(AND(B121&lt;&gt;"",C121&lt;&gt;""),_xludf.DAYS(C121,B121),""),"—")</f>
        <v/>
      </c>
      <c r="V121" s="136"/>
      <c r="W121" s="137"/>
    </row>
    <row r="122" spans="1:23" ht="18" customHeight="1" x14ac:dyDescent="0.2">
      <c r="A122" s="9">
        <f>121</f>
        <v>121</v>
      </c>
      <c r="B122" s="131"/>
      <c r="C122" s="131"/>
      <c r="D122" s="132"/>
      <c r="E122" s="133"/>
      <c r="F122" s="132"/>
      <c r="G122" s="134"/>
      <c r="H122" s="134"/>
      <c r="I122" s="134"/>
      <c r="J122" s="134"/>
      <c r="K122" s="10" t="str">
        <f t="shared" si="12"/>
        <v/>
      </c>
      <c r="L122" s="10" t="str">
        <f t="shared" si="13"/>
        <v/>
      </c>
      <c r="M122" s="132"/>
      <c r="N122" s="135"/>
      <c r="O122" s="11" t="str">
        <f t="shared" si="14"/>
        <v/>
      </c>
      <c r="P122" s="12">
        <f t="shared" si="15"/>
        <v>4000</v>
      </c>
      <c r="Q122" s="132"/>
      <c r="R122" s="132"/>
      <c r="S122" s="132"/>
      <c r="T122" s="132"/>
      <c r="U122" s="13" t="str">
        <f>IFERROR(IF(AND(B122&lt;&gt;"",C122&lt;&gt;""),_xludf.DAYS(C122,B122),""),"—")</f>
        <v/>
      </c>
      <c r="V122" s="136"/>
      <c r="W122" s="137"/>
    </row>
    <row r="123" spans="1:23" ht="18" customHeight="1" x14ac:dyDescent="0.2">
      <c r="A123" s="9">
        <f>122</f>
        <v>122</v>
      </c>
      <c r="B123" s="131"/>
      <c r="C123" s="131"/>
      <c r="D123" s="132"/>
      <c r="E123" s="133"/>
      <c r="F123" s="132"/>
      <c r="G123" s="134"/>
      <c r="H123" s="134"/>
      <c r="I123" s="134"/>
      <c r="J123" s="134"/>
      <c r="K123" s="10" t="str">
        <f t="shared" si="12"/>
        <v/>
      </c>
      <c r="L123" s="10" t="str">
        <f t="shared" si="13"/>
        <v/>
      </c>
      <c r="M123" s="132"/>
      <c r="N123" s="135"/>
      <c r="O123" s="11" t="str">
        <f t="shared" si="14"/>
        <v/>
      </c>
      <c r="P123" s="12">
        <f t="shared" si="15"/>
        <v>4000</v>
      </c>
      <c r="Q123" s="132"/>
      <c r="R123" s="132"/>
      <c r="S123" s="132"/>
      <c r="T123" s="132"/>
      <c r="U123" s="13" t="str">
        <f>IFERROR(IF(AND(B123&lt;&gt;"",C123&lt;&gt;""),_xludf.DAYS(C123,B123),""),"—")</f>
        <v/>
      </c>
      <c r="V123" s="136"/>
      <c r="W123" s="137"/>
    </row>
    <row r="124" spans="1:23" ht="18" customHeight="1" x14ac:dyDescent="0.2">
      <c r="A124" s="9">
        <f>123</f>
        <v>123</v>
      </c>
      <c r="B124" s="131"/>
      <c r="C124" s="131"/>
      <c r="D124" s="132"/>
      <c r="E124" s="133"/>
      <c r="F124" s="132"/>
      <c r="G124" s="134"/>
      <c r="H124" s="134"/>
      <c r="I124" s="134"/>
      <c r="J124" s="134"/>
      <c r="K124" s="10" t="str">
        <f t="shared" si="12"/>
        <v/>
      </c>
      <c r="L124" s="10" t="str">
        <f t="shared" si="13"/>
        <v/>
      </c>
      <c r="M124" s="132"/>
      <c r="N124" s="135"/>
      <c r="O124" s="11" t="str">
        <f t="shared" si="14"/>
        <v/>
      </c>
      <c r="P124" s="12">
        <f t="shared" si="15"/>
        <v>4000</v>
      </c>
      <c r="Q124" s="132"/>
      <c r="R124" s="132"/>
      <c r="S124" s="132"/>
      <c r="T124" s="132"/>
      <c r="U124" s="13" t="str">
        <f>IFERROR(IF(AND(B124&lt;&gt;"",C124&lt;&gt;""),_xludf.DAYS(C124,B124),""),"—")</f>
        <v/>
      </c>
      <c r="V124" s="136"/>
      <c r="W124" s="137"/>
    </row>
    <row r="125" spans="1:23" ht="18" customHeight="1" x14ac:dyDescent="0.2">
      <c r="A125" s="9">
        <f>124</f>
        <v>124</v>
      </c>
      <c r="B125" s="131"/>
      <c r="C125" s="131"/>
      <c r="D125" s="132"/>
      <c r="E125" s="133"/>
      <c r="F125" s="132"/>
      <c r="G125" s="134"/>
      <c r="H125" s="134"/>
      <c r="I125" s="134"/>
      <c r="J125" s="134"/>
      <c r="K125" s="10" t="str">
        <f t="shared" si="12"/>
        <v/>
      </c>
      <c r="L125" s="10" t="str">
        <f t="shared" si="13"/>
        <v/>
      </c>
      <c r="M125" s="132"/>
      <c r="N125" s="135"/>
      <c r="O125" s="11" t="str">
        <f t="shared" si="14"/>
        <v/>
      </c>
      <c r="P125" s="12">
        <f t="shared" si="15"/>
        <v>4000</v>
      </c>
      <c r="Q125" s="132"/>
      <c r="R125" s="132"/>
      <c r="S125" s="132"/>
      <c r="T125" s="132"/>
      <c r="U125" s="13" t="str">
        <f>IFERROR(IF(AND(B125&lt;&gt;"",C125&lt;&gt;""),_xludf.DAYS(C125,B125),""),"—")</f>
        <v/>
      </c>
      <c r="V125" s="136"/>
      <c r="W125" s="137"/>
    </row>
    <row r="126" spans="1:23" ht="18" customHeight="1" x14ac:dyDescent="0.2">
      <c r="A126" s="9">
        <f>125</f>
        <v>125</v>
      </c>
      <c r="B126" s="131"/>
      <c r="C126" s="131"/>
      <c r="D126" s="132"/>
      <c r="E126" s="133"/>
      <c r="F126" s="132"/>
      <c r="G126" s="134"/>
      <c r="H126" s="134"/>
      <c r="I126" s="134"/>
      <c r="J126" s="134"/>
      <c r="K126" s="10" t="str">
        <f t="shared" si="12"/>
        <v/>
      </c>
      <c r="L126" s="10" t="str">
        <f t="shared" si="13"/>
        <v/>
      </c>
      <c r="M126" s="132"/>
      <c r="N126" s="135"/>
      <c r="O126" s="11" t="str">
        <f t="shared" si="14"/>
        <v/>
      </c>
      <c r="P126" s="12">
        <f t="shared" si="15"/>
        <v>4000</v>
      </c>
      <c r="Q126" s="132"/>
      <c r="R126" s="132"/>
      <c r="S126" s="132"/>
      <c r="T126" s="132"/>
      <c r="U126" s="13" t="str">
        <f>IFERROR(IF(AND(B126&lt;&gt;"",C126&lt;&gt;""),_xludf.DAYS(C126,B126),""),"—")</f>
        <v/>
      </c>
      <c r="V126" s="136"/>
      <c r="W126" s="137"/>
    </row>
    <row r="127" spans="1:23" ht="18" customHeight="1" x14ac:dyDescent="0.2">
      <c r="A127" s="9">
        <f>126</f>
        <v>126</v>
      </c>
      <c r="B127" s="131"/>
      <c r="C127" s="131"/>
      <c r="D127" s="132"/>
      <c r="E127" s="133"/>
      <c r="F127" s="132"/>
      <c r="G127" s="134"/>
      <c r="H127" s="134"/>
      <c r="I127" s="134"/>
      <c r="J127" s="134"/>
      <c r="K127" s="10" t="str">
        <f t="shared" si="12"/>
        <v/>
      </c>
      <c r="L127" s="10" t="str">
        <f t="shared" si="13"/>
        <v/>
      </c>
      <c r="M127" s="132"/>
      <c r="N127" s="135"/>
      <c r="O127" s="11" t="str">
        <f t="shared" si="14"/>
        <v/>
      </c>
      <c r="P127" s="12">
        <f t="shared" si="15"/>
        <v>4000</v>
      </c>
      <c r="Q127" s="132"/>
      <c r="R127" s="132"/>
      <c r="S127" s="132"/>
      <c r="T127" s="132"/>
      <c r="U127" s="13" t="str">
        <f>IFERROR(IF(AND(B127&lt;&gt;"",C127&lt;&gt;""),_xludf.DAYS(C127,B127),""),"—")</f>
        <v/>
      </c>
      <c r="V127" s="136"/>
      <c r="W127" s="137"/>
    </row>
    <row r="128" spans="1:23" ht="18" customHeight="1" x14ac:dyDescent="0.2">
      <c r="A128" s="9">
        <f>127</f>
        <v>127</v>
      </c>
      <c r="B128" s="131"/>
      <c r="C128" s="131"/>
      <c r="D128" s="132"/>
      <c r="E128" s="133"/>
      <c r="F128" s="132"/>
      <c r="G128" s="134"/>
      <c r="H128" s="134"/>
      <c r="I128" s="134"/>
      <c r="J128" s="134"/>
      <c r="K128" s="10" t="str">
        <f t="shared" si="12"/>
        <v/>
      </c>
      <c r="L128" s="10" t="str">
        <f t="shared" si="13"/>
        <v/>
      </c>
      <c r="M128" s="132"/>
      <c r="N128" s="135"/>
      <c r="O128" s="11" t="str">
        <f t="shared" si="14"/>
        <v/>
      </c>
      <c r="P128" s="12">
        <f t="shared" si="15"/>
        <v>4000</v>
      </c>
      <c r="Q128" s="132"/>
      <c r="R128" s="132"/>
      <c r="S128" s="132"/>
      <c r="T128" s="132"/>
      <c r="U128" s="13" t="str">
        <f>IFERROR(IF(AND(B128&lt;&gt;"",C128&lt;&gt;""),_xludf.DAYS(C128,B128),""),"—")</f>
        <v/>
      </c>
      <c r="V128" s="136"/>
      <c r="W128" s="137"/>
    </row>
    <row r="129" spans="1:23" ht="18" customHeight="1" x14ac:dyDescent="0.2">
      <c r="A129" s="9">
        <f>128</f>
        <v>128</v>
      </c>
      <c r="B129" s="131"/>
      <c r="C129" s="131"/>
      <c r="D129" s="132"/>
      <c r="E129" s="133"/>
      <c r="F129" s="132"/>
      <c r="G129" s="134"/>
      <c r="H129" s="134"/>
      <c r="I129" s="134"/>
      <c r="J129" s="134"/>
      <c r="K129" s="10" t="str">
        <f t="shared" si="12"/>
        <v/>
      </c>
      <c r="L129" s="10" t="str">
        <f t="shared" si="13"/>
        <v/>
      </c>
      <c r="M129" s="132"/>
      <c r="N129" s="135"/>
      <c r="O129" s="11" t="str">
        <f t="shared" si="14"/>
        <v/>
      </c>
      <c r="P129" s="12">
        <f t="shared" si="15"/>
        <v>4000</v>
      </c>
      <c r="Q129" s="132"/>
      <c r="R129" s="132"/>
      <c r="S129" s="132"/>
      <c r="T129" s="132"/>
      <c r="U129" s="13" t="str">
        <f>IFERROR(IF(AND(B129&lt;&gt;"",C129&lt;&gt;""),_xludf.DAYS(C129,B129),""),"—")</f>
        <v/>
      </c>
      <c r="V129" s="136"/>
      <c r="W129" s="137"/>
    </row>
    <row r="130" spans="1:23" ht="18" customHeight="1" x14ac:dyDescent="0.2">
      <c r="A130" s="9">
        <f>129</f>
        <v>129</v>
      </c>
      <c r="B130" s="131"/>
      <c r="C130" s="131"/>
      <c r="D130" s="132"/>
      <c r="E130" s="133"/>
      <c r="F130" s="132"/>
      <c r="G130" s="134"/>
      <c r="H130" s="134"/>
      <c r="I130" s="134"/>
      <c r="J130" s="134"/>
      <c r="K130" s="10" t="str">
        <f t="shared" ref="K130:K161" si="16">IFERROR(IF(F130="Mua",(I130-G130)/(G130-H130),(G130-I130)/(H130-G130)),"")</f>
        <v/>
      </c>
      <c r="L130" s="10" t="str">
        <f t="shared" ref="L130:L161" si="17">IFERROR(IF(F130="Mua",(J130-G130)/(G130-H130),(G130-J130)/(H130-G130)),"")</f>
        <v/>
      </c>
      <c r="M130" s="132"/>
      <c r="N130" s="135"/>
      <c r="O130" s="11" t="str">
        <f t="shared" si="14"/>
        <v/>
      </c>
      <c r="P130" s="12">
        <f t="shared" si="15"/>
        <v>4000</v>
      </c>
      <c r="Q130" s="132"/>
      <c r="R130" s="132"/>
      <c r="S130" s="132"/>
      <c r="T130" s="132"/>
      <c r="U130" s="13" t="str">
        <f>IFERROR(IF(AND(B130&lt;&gt;"",C130&lt;&gt;""),_xludf.DAYS(C130,B130),""),"—")</f>
        <v/>
      </c>
      <c r="V130" s="136"/>
      <c r="W130" s="137"/>
    </row>
    <row r="131" spans="1:23" ht="18" customHeight="1" x14ac:dyDescent="0.2">
      <c r="A131" s="9">
        <f>130</f>
        <v>130</v>
      </c>
      <c r="B131" s="131"/>
      <c r="C131" s="131"/>
      <c r="D131" s="132"/>
      <c r="E131" s="133"/>
      <c r="F131" s="132"/>
      <c r="G131" s="134"/>
      <c r="H131" s="134"/>
      <c r="I131" s="134"/>
      <c r="J131" s="134"/>
      <c r="K131" s="10" t="str">
        <f t="shared" si="16"/>
        <v/>
      </c>
      <c r="L131" s="10" t="str">
        <f t="shared" si="17"/>
        <v/>
      </c>
      <c r="M131" s="132"/>
      <c r="N131" s="135"/>
      <c r="O131" s="11" t="str">
        <f t="shared" ref="O131:O162" si="18">IFERROR(IF(N131&lt;&gt;"",N131/P130,""),"")</f>
        <v/>
      </c>
      <c r="P131" s="12">
        <f t="shared" ref="P131:P162" si="19">IF(N131&lt;&gt;"",P130+N131,P130)</f>
        <v>4000</v>
      </c>
      <c r="Q131" s="132"/>
      <c r="R131" s="132"/>
      <c r="S131" s="132"/>
      <c r="T131" s="132"/>
      <c r="U131" s="13" t="str">
        <f>IFERROR(IF(AND(B131&lt;&gt;"",C131&lt;&gt;""),_xludf.DAYS(C131,B131),""),"—")</f>
        <v/>
      </c>
      <c r="V131" s="136"/>
      <c r="W131" s="137"/>
    </row>
    <row r="132" spans="1:23" ht="18" customHeight="1" x14ac:dyDescent="0.2">
      <c r="A132" s="9">
        <f>131</f>
        <v>131</v>
      </c>
      <c r="B132" s="131"/>
      <c r="C132" s="131"/>
      <c r="D132" s="132"/>
      <c r="E132" s="133"/>
      <c r="F132" s="132"/>
      <c r="G132" s="134"/>
      <c r="H132" s="134"/>
      <c r="I132" s="134"/>
      <c r="J132" s="134"/>
      <c r="K132" s="10" t="str">
        <f t="shared" si="16"/>
        <v/>
      </c>
      <c r="L132" s="10" t="str">
        <f t="shared" si="17"/>
        <v/>
      </c>
      <c r="M132" s="132"/>
      <c r="N132" s="135"/>
      <c r="O132" s="11" t="str">
        <f t="shared" si="18"/>
        <v/>
      </c>
      <c r="P132" s="12">
        <f t="shared" si="19"/>
        <v>4000</v>
      </c>
      <c r="Q132" s="132"/>
      <c r="R132" s="132"/>
      <c r="S132" s="132"/>
      <c r="T132" s="132"/>
      <c r="U132" s="13" t="str">
        <f>IFERROR(IF(AND(B132&lt;&gt;"",C132&lt;&gt;""),_xludf.DAYS(C132,B132),""),"—")</f>
        <v/>
      </c>
      <c r="V132" s="136"/>
      <c r="W132" s="137"/>
    </row>
    <row r="133" spans="1:23" ht="18" customHeight="1" x14ac:dyDescent="0.2">
      <c r="A133" s="9">
        <f>132</f>
        <v>132</v>
      </c>
      <c r="B133" s="131"/>
      <c r="C133" s="131"/>
      <c r="D133" s="132"/>
      <c r="E133" s="133"/>
      <c r="F133" s="132"/>
      <c r="G133" s="134"/>
      <c r="H133" s="134"/>
      <c r="I133" s="134"/>
      <c r="J133" s="134"/>
      <c r="K133" s="10" t="str">
        <f t="shared" si="16"/>
        <v/>
      </c>
      <c r="L133" s="10" t="str">
        <f t="shared" si="17"/>
        <v/>
      </c>
      <c r="M133" s="132"/>
      <c r="N133" s="135"/>
      <c r="O133" s="11" t="str">
        <f t="shared" si="18"/>
        <v/>
      </c>
      <c r="P133" s="12">
        <f t="shared" si="19"/>
        <v>4000</v>
      </c>
      <c r="Q133" s="132"/>
      <c r="R133" s="132"/>
      <c r="S133" s="132"/>
      <c r="T133" s="132"/>
      <c r="U133" s="13" t="str">
        <f>IFERROR(IF(AND(B133&lt;&gt;"",C133&lt;&gt;""),_xludf.DAYS(C133,B133),""),"—")</f>
        <v/>
      </c>
      <c r="V133" s="136"/>
      <c r="W133" s="137"/>
    </row>
    <row r="134" spans="1:23" ht="18" customHeight="1" x14ac:dyDescent="0.2">
      <c r="A134" s="9">
        <f>133</f>
        <v>133</v>
      </c>
      <c r="B134" s="131"/>
      <c r="C134" s="131"/>
      <c r="D134" s="132"/>
      <c r="E134" s="133"/>
      <c r="F134" s="132"/>
      <c r="G134" s="134"/>
      <c r="H134" s="134"/>
      <c r="I134" s="134"/>
      <c r="J134" s="134"/>
      <c r="K134" s="10" t="str">
        <f t="shared" si="16"/>
        <v/>
      </c>
      <c r="L134" s="10" t="str">
        <f t="shared" si="17"/>
        <v/>
      </c>
      <c r="M134" s="132"/>
      <c r="N134" s="135"/>
      <c r="O134" s="11" t="str">
        <f t="shared" si="18"/>
        <v/>
      </c>
      <c r="P134" s="12">
        <f t="shared" si="19"/>
        <v>4000</v>
      </c>
      <c r="Q134" s="132"/>
      <c r="R134" s="132"/>
      <c r="S134" s="132"/>
      <c r="T134" s="132"/>
      <c r="U134" s="13" t="str">
        <f>IFERROR(IF(AND(B134&lt;&gt;"",C134&lt;&gt;""),_xludf.DAYS(C134,B134),""),"—")</f>
        <v/>
      </c>
      <c r="V134" s="136"/>
      <c r="W134" s="137"/>
    </row>
    <row r="135" spans="1:23" ht="18" customHeight="1" x14ac:dyDescent="0.2">
      <c r="A135" s="9">
        <f>134</f>
        <v>134</v>
      </c>
      <c r="B135" s="131"/>
      <c r="C135" s="131"/>
      <c r="D135" s="132"/>
      <c r="E135" s="133"/>
      <c r="F135" s="132"/>
      <c r="G135" s="134"/>
      <c r="H135" s="134"/>
      <c r="I135" s="134"/>
      <c r="J135" s="134"/>
      <c r="K135" s="10" t="str">
        <f t="shared" si="16"/>
        <v/>
      </c>
      <c r="L135" s="10" t="str">
        <f t="shared" si="17"/>
        <v/>
      </c>
      <c r="M135" s="132"/>
      <c r="N135" s="135"/>
      <c r="O135" s="11" t="str">
        <f t="shared" si="18"/>
        <v/>
      </c>
      <c r="P135" s="12">
        <f t="shared" si="19"/>
        <v>4000</v>
      </c>
      <c r="Q135" s="132"/>
      <c r="R135" s="132"/>
      <c r="S135" s="132"/>
      <c r="T135" s="132"/>
      <c r="U135" s="13" t="str">
        <f>IFERROR(IF(AND(B135&lt;&gt;"",C135&lt;&gt;""),_xludf.DAYS(C135,B135),""),"—")</f>
        <v/>
      </c>
      <c r="V135" s="136"/>
      <c r="W135" s="137"/>
    </row>
    <row r="136" spans="1:23" ht="18" customHeight="1" x14ac:dyDescent="0.2">
      <c r="A136" s="9">
        <f>135</f>
        <v>135</v>
      </c>
      <c r="B136" s="131"/>
      <c r="C136" s="131"/>
      <c r="D136" s="132"/>
      <c r="E136" s="133"/>
      <c r="F136" s="132"/>
      <c r="G136" s="134"/>
      <c r="H136" s="134"/>
      <c r="I136" s="134"/>
      <c r="J136" s="134"/>
      <c r="K136" s="10" t="str">
        <f t="shared" si="16"/>
        <v/>
      </c>
      <c r="L136" s="10" t="str">
        <f t="shared" si="17"/>
        <v/>
      </c>
      <c r="M136" s="132"/>
      <c r="N136" s="135"/>
      <c r="O136" s="11" t="str">
        <f t="shared" si="18"/>
        <v/>
      </c>
      <c r="P136" s="12">
        <f t="shared" si="19"/>
        <v>4000</v>
      </c>
      <c r="Q136" s="132"/>
      <c r="R136" s="132"/>
      <c r="S136" s="132"/>
      <c r="T136" s="132"/>
      <c r="U136" s="13" t="str">
        <f>IFERROR(IF(AND(B136&lt;&gt;"",C136&lt;&gt;""),_xludf.DAYS(C136,B136),""),"—")</f>
        <v/>
      </c>
      <c r="V136" s="136"/>
      <c r="W136" s="137"/>
    </row>
    <row r="137" spans="1:23" ht="18" customHeight="1" x14ac:dyDescent="0.2">
      <c r="A137" s="9">
        <f>136</f>
        <v>136</v>
      </c>
      <c r="B137" s="131"/>
      <c r="C137" s="131"/>
      <c r="D137" s="132"/>
      <c r="E137" s="133"/>
      <c r="F137" s="132"/>
      <c r="G137" s="134"/>
      <c r="H137" s="134"/>
      <c r="I137" s="134"/>
      <c r="J137" s="134"/>
      <c r="K137" s="10" t="str">
        <f t="shared" si="16"/>
        <v/>
      </c>
      <c r="L137" s="10" t="str">
        <f t="shared" si="17"/>
        <v/>
      </c>
      <c r="M137" s="132"/>
      <c r="N137" s="135"/>
      <c r="O137" s="11" t="str">
        <f t="shared" si="18"/>
        <v/>
      </c>
      <c r="P137" s="12">
        <f t="shared" si="19"/>
        <v>4000</v>
      </c>
      <c r="Q137" s="132"/>
      <c r="R137" s="132"/>
      <c r="S137" s="132"/>
      <c r="T137" s="132"/>
      <c r="U137" s="13" t="str">
        <f>IFERROR(IF(AND(B137&lt;&gt;"",C137&lt;&gt;""),_xludf.DAYS(C137,B137),""),"—")</f>
        <v/>
      </c>
      <c r="V137" s="136"/>
      <c r="W137" s="137"/>
    </row>
    <row r="138" spans="1:23" ht="18" customHeight="1" x14ac:dyDescent="0.2">
      <c r="A138" s="9">
        <f>137</f>
        <v>137</v>
      </c>
      <c r="B138" s="131"/>
      <c r="C138" s="131"/>
      <c r="D138" s="132"/>
      <c r="E138" s="133"/>
      <c r="F138" s="132"/>
      <c r="G138" s="134"/>
      <c r="H138" s="134"/>
      <c r="I138" s="134"/>
      <c r="J138" s="134"/>
      <c r="K138" s="10" t="str">
        <f t="shared" si="16"/>
        <v/>
      </c>
      <c r="L138" s="10" t="str">
        <f t="shared" si="17"/>
        <v/>
      </c>
      <c r="M138" s="132"/>
      <c r="N138" s="135"/>
      <c r="O138" s="11" t="str">
        <f t="shared" si="18"/>
        <v/>
      </c>
      <c r="P138" s="12">
        <f t="shared" si="19"/>
        <v>4000</v>
      </c>
      <c r="Q138" s="132"/>
      <c r="R138" s="132"/>
      <c r="S138" s="132"/>
      <c r="T138" s="132"/>
      <c r="U138" s="13" t="str">
        <f>IFERROR(IF(AND(B138&lt;&gt;"",C138&lt;&gt;""),_xludf.DAYS(C138,B138),""),"—")</f>
        <v/>
      </c>
      <c r="V138" s="136"/>
      <c r="W138" s="137"/>
    </row>
    <row r="139" spans="1:23" ht="18" customHeight="1" x14ac:dyDescent="0.2">
      <c r="A139" s="9">
        <f>138</f>
        <v>138</v>
      </c>
      <c r="B139" s="131"/>
      <c r="C139" s="131"/>
      <c r="D139" s="132"/>
      <c r="E139" s="133"/>
      <c r="F139" s="132"/>
      <c r="G139" s="134"/>
      <c r="H139" s="134"/>
      <c r="I139" s="134"/>
      <c r="J139" s="134"/>
      <c r="K139" s="10" t="str">
        <f t="shared" si="16"/>
        <v/>
      </c>
      <c r="L139" s="10" t="str">
        <f t="shared" si="17"/>
        <v/>
      </c>
      <c r="M139" s="132"/>
      <c r="N139" s="135"/>
      <c r="O139" s="11" t="str">
        <f t="shared" si="18"/>
        <v/>
      </c>
      <c r="P139" s="12">
        <f t="shared" si="19"/>
        <v>4000</v>
      </c>
      <c r="Q139" s="132"/>
      <c r="R139" s="132"/>
      <c r="S139" s="132"/>
      <c r="T139" s="132"/>
      <c r="U139" s="13" t="str">
        <f>IFERROR(IF(AND(B139&lt;&gt;"",C139&lt;&gt;""),_xludf.DAYS(C139,B139),""),"—")</f>
        <v/>
      </c>
      <c r="V139" s="136"/>
      <c r="W139" s="137"/>
    </row>
    <row r="140" spans="1:23" ht="18" customHeight="1" x14ac:dyDescent="0.2">
      <c r="A140" s="9">
        <f>139</f>
        <v>139</v>
      </c>
      <c r="B140" s="131"/>
      <c r="C140" s="131"/>
      <c r="D140" s="132"/>
      <c r="E140" s="133"/>
      <c r="F140" s="132"/>
      <c r="G140" s="134"/>
      <c r="H140" s="134"/>
      <c r="I140" s="134"/>
      <c r="J140" s="134"/>
      <c r="K140" s="10" t="str">
        <f t="shared" si="16"/>
        <v/>
      </c>
      <c r="L140" s="10" t="str">
        <f t="shared" si="17"/>
        <v/>
      </c>
      <c r="M140" s="132"/>
      <c r="N140" s="135"/>
      <c r="O140" s="11" t="str">
        <f t="shared" si="18"/>
        <v/>
      </c>
      <c r="P140" s="12">
        <f t="shared" si="19"/>
        <v>4000</v>
      </c>
      <c r="Q140" s="132"/>
      <c r="R140" s="132"/>
      <c r="S140" s="132"/>
      <c r="T140" s="132"/>
      <c r="U140" s="13" t="str">
        <f>IFERROR(IF(AND(B140&lt;&gt;"",C140&lt;&gt;""),_xludf.DAYS(C140,B140),""),"—")</f>
        <v/>
      </c>
      <c r="V140" s="136"/>
      <c r="W140" s="137"/>
    </row>
    <row r="141" spans="1:23" ht="18" customHeight="1" x14ac:dyDescent="0.2">
      <c r="A141" s="9">
        <f>140</f>
        <v>140</v>
      </c>
      <c r="B141" s="131"/>
      <c r="C141" s="131"/>
      <c r="D141" s="132"/>
      <c r="E141" s="133"/>
      <c r="F141" s="132"/>
      <c r="G141" s="134"/>
      <c r="H141" s="134"/>
      <c r="I141" s="134"/>
      <c r="J141" s="134"/>
      <c r="K141" s="10" t="str">
        <f t="shared" si="16"/>
        <v/>
      </c>
      <c r="L141" s="10" t="str">
        <f t="shared" si="17"/>
        <v/>
      </c>
      <c r="M141" s="132"/>
      <c r="N141" s="135"/>
      <c r="O141" s="11" t="str">
        <f t="shared" si="18"/>
        <v/>
      </c>
      <c r="P141" s="12">
        <f t="shared" si="19"/>
        <v>4000</v>
      </c>
      <c r="Q141" s="132"/>
      <c r="R141" s="132"/>
      <c r="S141" s="132"/>
      <c r="T141" s="132"/>
      <c r="U141" s="13" t="str">
        <f>IFERROR(IF(AND(B141&lt;&gt;"",C141&lt;&gt;""),_xludf.DAYS(C141,B141),""),"—")</f>
        <v/>
      </c>
      <c r="V141" s="136"/>
      <c r="W141" s="137"/>
    </row>
    <row r="142" spans="1:23" ht="18" customHeight="1" x14ac:dyDescent="0.2">
      <c r="A142" s="9">
        <f>141</f>
        <v>141</v>
      </c>
      <c r="B142" s="131"/>
      <c r="C142" s="131"/>
      <c r="D142" s="132"/>
      <c r="E142" s="133"/>
      <c r="F142" s="132"/>
      <c r="G142" s="134"/>
      <c r="H142" s="134"/>
      <c r="I142" s="134"/>
      <c r="J142" s="134"/>
      <c r="K142" s="10" t="str">
        <f t="shared" si="16"/>
        <v/>
      </c>
      <c r="L142" s="10" t="str">
        <f t="shared" si="17"/>
        <v/>
      </c>
      <c r="M142" s="132"/>
      <c r="N142" s="135"/>
      <c r="O142" s="11" t="str">
        <f t="shared" si="18"/>
        <v/>
      </c>
      <c r="P142" s="12">
        <f t="shared" si="19"/>
        <v>4000</v>
      </c>
      <c r="Q142" s="132"/>
      <c r="R142" s="132"/>
      <c r="S142" s="132"/>
      <c r="T142" s="132"/>
      <c r="U142" s="13" t="str">
        <f>IFERROR(IF(AND(B142&lt;&gt;"",C142&lt;&gt;""),_xludf.DAYS(C142,B142),""),"—")</f>
        <v/>
      </c>
      <c r="V142" s="136"/>
      <c r="W142" s="137"/>
    </row>
    <row r="143" spans="1:23" ht="18" customHeight="1" x14ac:dyDescent="0.2">
      <c r="A143" s="9">
        <f>142</f>
        <v>142</v>
      </c>
      <c r="B143" s="131"/>
      <c r="C143" s="131"/>
      <c r="D143" s="132"/>
      <c r="E143" s="133"/>
      <c r="F143" s="132"/>
      <c r="G143" s="134"/>
      <c r="H143" s="134"/>
      <c r="I143" s="134"/>
      <c r="J143" s="134"/>
      <c r="K143" s="10" t="str">
        <f t="shared" si="16"/>
        <v/>
      </c>
      <c r="L143" s="10" t="str">
        <f t="shared" si="17"/>
        <v/>
      </c>
      <c r="M143" s="132"/>
      <c r="N143" s="135"/>
      <c r="O143" s="11" t="str">
        <f t="shared" si="18"/>
        <v/>
      </c>
      <c r="P143" s="12">
        <f t="shared" si="19"/>
        <v>4000</v>
      </c>
      <c r="Q143" s="132"/>
      <c r="R143" s="132"/>
      <c r="S143" s="132"/>
      <c r="T143" s="132"/>
      <c r="U143" s="13" t="str">
        <f>IFERROR(IF(AND(B143&lt;&gt;"",C143&lt;&gt;""),_xludf.DAYS(C143,B143),""),"—")</f>
        <v/>
      </c>
      <c r="V143" s="136"/>
      <c r="W143" s="137"/>
    </row>
    <row r="144" spans="1:23" ht="18" customHeight="1" x14ac:dyDescent="0.2">
      <c r="A144" s="9">
        <f>143</f>
        <v>143</v>
      </c>
      <c r="B144" s="131"/>
      <c r="C144" s="131"/>
      <c r="D144" s="132"/>
      <c r="E144" s="133"/>
      <c r="F144" s="132"/>
      <c r="G144" s="134"/>
      <c r="H144" s="134"/>
      <c r="I144" s="134"/>
      <c r="J144" s="134"/>
      <c r="K144" s="10" t="str">
        <f t="shared" si="16"/>
        <v/>
      </c>
      <c r="L144" s="10" t="str">
        <f t="shared" si="17"/>
        <v/>
      </c>
      <c r="M144" s="132"/>
      <c r="N144" s="135"/>
      <c r="O144" s="11" t="str">
        <f t="shared" si="18"/>
        <v/>
      </c>
      <c r="P144" s="12">
        <f t="shared" si="19"/>
        <v>4000</v>
      </c>
      <c r="Q144" s="132"/>
      <c r="R144" s="132"/>
      <c r="S144" s="132"/>
      <c r="T144" s="132"/>
      <c r="U144" s="13" t="str">
        <f>IFERROR(IF(AND(B144&lt;&gt;"",C144&lt;&gt;""),_xludf.DAYS(C144,B144),""),"—")</f>
        <v/>
      </c>
      <c r="V144" s="136"/>
      <c r="W144" s="137"/>
    </row>
    <row r="145" spans="1:23" ht="18" customHeight="1" x14ac:dyDescent="0.2">
      <c r="A145" s="9">
        <f>144</f>
        <v>144</v>
      </c>
      <c r="B145" s="131"/>
      <c r="C145" s="131"/>
      <c r="D145" s="132"/>
      <c r="E145" s="133"/>
      <c r="F145" s="132"/>
      <c r="G145" s="134"/>
      <c r="H145" s="134"/>
      <c r="I145" s="134"/>
      <c r="J145" s="134"/>
      <c r="K145" s="10" t="str">
        <f t="shared" si="16"/>
        <v/>
      </c>
      <c r="L145" s="10" t="str">
        <f t="shared" si="17"/>
        <v/>
      </c>
      <c r="M145" s="132"/>
      <c r="N145" s="135"/>
      <c r="O145" s="11" t="str">
        <f t="shared" si="18"/>
        <v/>
      </c>
      <c r="P145" s="12">
        <f t="shared" si="19"/>
        <v>4000</v>
      </c>
      <c r="Q145" s="132"/>
      <c r="R145" s="132"/>
      <c r="S145" s="132"/>
      <c r="T145" s="132"/>
      <c r="U145" s="13" t="str">
        <f>IFERROR(IF(AND(B145&lt;&gt;"",C145&lt;&gt;""),_xludf.DAYS(C145,B145),""),"—")</f>
        <v/>
      </c>
      <c r="V145" s="136"/>
      <c r="W145" s="137"/>
    </row>
    <row r="146" spans="1:23" ht="18" customHeight="1" x14ac:dyDescent="0.2">
      <c r="A146" s="9">
        <f>145</f>
        <v>145</v>
      </c>
      <c r="B146" s="131"/>
      <c r="C146" s="131"/>
      <c r="D146" s="132"/>
      <c r="E146" s="133"/>
      <c r="F146" s="132"/>
      <c r="G146" s="134"/>
      <c r="H146" s="134"/>
      <c r="I146" s="134"/>
      <c r="J146" s="134"/>
      <c r="K146" s="10" t="str">
        <f t="shared" si="16"/>
        <v/>
      </c>
      <c r="L146" s="10" t="str">
        <f t="shared" si="17"/>
        <v/>
      </c>
      <c r="M146" s="132"/>
      <c r="N146" s="135"/>
      <c r="O146" s="11" t="str">
        <f t="shared" si="18"/>
        <v/>
      </c>
      <c r="P146" s="12">
        <f t="shared" si="19"/>
        <v>4000</v>
      </c>
      <c r="Q146" s="132"/>
      <c r="R146" s="132"/>
      <c r="S146" s="132"/>
      <c r="T146" s="132"/>
      <c r="U146" s="13" t="str">
        <f>IFERROR(IF(AND(B146&lt;&gt;"",C146&lt;&gt;""),_xludf.DAYS(C146,B146),""),"—")</f>
        <v/>
      </c>
      <c r="V146" s="136"/>
      <c r="W146" s="137"/>
    </row>
    <row r="147" spans="1:23" ht="18" customHeight="1" x14ac:dyDescent="0.2">
      <c r="A147" s="9">
        <f>146</f>
        <v>146</v>
      </c>
      <c r="B147" s="131"/>
      <c r="C147" s="131"/>
      <c r="D147" s="132"/>
      <c r="E147" s="133"/>
      <c r="F147" s="132"/>
      <c r="G147" s="134"/>
      <c r="H147" s="134"/>
      <c r="I147" s="134"/>
      <c r="J147" s="134"/>
      <c r="K147" s="10" t="str">
        <f t="shared" si="16"/>
        <v/>
      </c>
      <c r="L147" s="10" t="str">
        <f t="shared" si="17"/>
        <v/>
      </c>
      <c r="M147" s="132"/>
      <c r="N147" s="135"/>
      <c r="O147" s="11" t="str">
        <f t="shared" si="18"/>
        <v/>
      </c>
      <c r="P147" s="12">
        <f t="shared" si="19"/>
        <v>4000</v>
      </c>
      <c r="Q147" s="132"/>
      <c r="R147" s="132"/>
      <c r="S147" s="132"/>
      <c r="T147" s="132"/>
      <c r="U147" s="13" t="str">
        <f>IFERROR(IF(AND(B147&lt;&gt;"",C147&lt;&gt;""),_xludf.DAYS(C147,B147),""),"—")</f>
        <v/>
      </c>
      <c r="V147" s="136"/>
      <c r="W147" s="137"/>
    </row>
    <row r="148" spans="1:23" ht="18" customHeight="1" x14ac:dyDescent="0.2">
      <c r="A148" s="9">
        <f>147</f>
        <v>147</v>
      </c>
      <c r="B148" s="131"/>
      <c r="C148" s="131"/>
      <c r="D148" s="132"/>
      <c r="E148" s="133"/>
      <c r="F148" s="132"/>
      <c r="G148" s="134"/>
      <c r="H148" s="134"/>
      <c r="I148" s="134"/>
      <c r="J148" s="134"/>
      <c r="K148" s="10" t="str">
        <f t="shared" si="16"/>
        <v/>
      </c>
      <c r="L148" s="10" t="str">
        <f t="shared" si="17"/>
        <v/>
      </c>
      <c r="M148" s="132"/>
      <c r="N148" s="135"/>
      <c r="O148" s="11" t="str">
        <f t="shared" si="18"/>
        <v/>
      </c>
      <c r="P148" s="12">
        <f t="shared" si="19"/>
        <v>4000</v>
      </c>
      <c r="Q148" s="132"/>
      <c r="R148" s="132"/>
      <c r="S148" s="132"/>
      <c r="T148" s="132"/>
      <c r="U148" s="13" t="str">
        <f>IFERROR(IF(AND(B148&lt;&gt;"",C148&lt;&gt;""),_xludf.DAYS(C148,B148),""),"—")</f>
        <v/>
      </c>
      <c r="V148" s="136"/>
      <c r="W148" s="137"/>
    </row>
    <row r="149" spans="1:23" ht="18" customHeight="1" x14ac:dyDescent="0.2">
      <c r="A149" s="9">
        <f>148</f>
        <v>148</v>
      </c>
      <c r="B149" s="131"/>
      <c r="C149" s="131"/>
      <c r="D149" s="132"/>
      <c r="E149" s="133"/>
      <c r="F149" s="132"/>
      <c r="G149" s="134"/>
      <c r="H149" s="134"/>
      <c r="I149" s="134"/>
      <c r="J149" s="134"/>
      <c r="K149" s="10" t="str">
        <f t="shared" si="16"/>
        <v/>
      </c>
      <c r="L149" s="10" t="str">
        <f t="shared" si="17"/>
        <v/>
      </c>
      <c r="M149" s="132"/>
      <c r="N149" s="135"/>
      <c r="O149" s="11" t="str">
        <f t="shared" si="18"/>
        <v/>
      </c>
      <c r="P149" s="12">
        <f t="shared" si="19"/>
        <v>4000</v>
      </c>
      <c r="Q149" s="132"/>
      <c r="R149" s="132"/>
      <c r="S149" s="132"/>
      <c r="T149" s="132"/>
      <c r="U149" s="13" t="str">
        <f>IFERROR(IF(AND(B149&lt;&gt;"",C149&lt;&gt;""),_xludf.DAYS(C149,B149),""),"—")</f>
        <v/>
      </c>
      <c r="V149" s="136"/>
      <c r="W149" s="137"/>
    </row>
    <row r="150" spans="1:23" ht="18" customHeight="1" x14ac:dyDescent="0.2">
      <c r="A150" s="9">
        <f>149</f>
        <v>149</v>
      </c>
      <c r="B150" s="131"/>
      <c r="C150" s="131"/>
      <c r="D150" s="132"/>
      <c r="E150" s="133"/>
      <c r="F150" s="132"/>
      <c r="G150" s="134"/>
      <c r="H150" s="134"/>
      <c r="I150" s="134"/>
      <c r="J150" s="134"/>
      <c r="K150" s="10" t="str">
        <f t="shared" si="16"/>
        <v/>
      </c>
      <c r="L150" s="10" t="str">
        <f t="shared" si="17"/>
        <v/>
      </c>
      <c r="M150" s="132"/>
      <c r="N150" s="135"/>
      <c r="O150" s="11" t="str">
        <f t="shared" si="18"/>
        <v/>
      </c>
      <c r="P150" s="12">
        <f t="shared" si="19"/>
        <v>4000</v>
      </c>
      <c r="Q150" s="132"/>
      <c r="R150" s="132"/>
      <c r="S150" s="132"/>
      <c r="T150" s="132"/>
      <c r="U150" s="13" t="str">
        <f>IFERROR(IF(AND(B150&lt;&gt;"",C150&lt;&gt;""),_xludf.DAYS(C150,B150),""),"—")</f>
        <v/>
      </c>
      <c r="V150" s="136"/>
      <c r="W150" s="137"/>
    </row>
    <row r="151" spans="1:23" ht="18" customHeight="1" x14ac:dyDescent="0.2">
      <c r="A151" s="9">
        <f>150</f>
        <v>150</v>
      </c>
      <c r="B151" s="131"/>
      <c r="C151" s="131"/>
      <c r="D151" s="132"/>
      <c r="E151" s="133"/>
      <c r="F151" s="132"/>
      <c r="G151" s="134"/>
      <c r="H151" s="134"/>
      <c r="I151" s="134"/>
      <c r="J151" s="134"/>
      <c r="K151" s="10" t="str">
        <f t="shared" si="16"/>
        <v/>
      </c>
      <c r="L151" s="10" t="str">
        <f t="shared" si="17"/>
        <v/>
      </c>
      <c r="M151" s="132"/>
      <c r="N151" s="135"/>
      <c r="O151" s="11" t="str">
        <f t="shared" si="18"/>
        <v/>
      </c>
      <c r="P151" s="12">
        <f t="shared" si="19"/>
        <v>4000</v>
      </c>
      <c r="Q151" s="132"/>
      <c r="R151" s="132"/>
      <c r="S151" s="132"/>
      <c r="T151" s="132"/>
      <c r="U151" s="13" t="str">
        <f>IFERROR(IF(AND(B151&lt;&gt;"",C151&lt;&gt;""),_xludf.DAYS(C151,B151),""),"—")</f>
        <v/>
      </c>
      <c r="V151" s="136"/>
      <c r="W151" s="137"/>
    </row>
    <row r="152" spans="1:23" ht="18" customHeight="1" x14ac:dyDescent="0.2">
      <c r="A152" s="9">
        <f>151</f>
        <v>151</v>
      </c>
      <c r="B152" s="131"/>
      <c r="C152" s="131"/>
      <c r="D152" s="132"/>
      <c r="E152" s="133"/>
      <c r="F152" s="132"/>
      <c r="G152" s="134"/>
      <c r="H152" s="134"/>
      <c r="I152" s="134"/>
      <c r="J152" s="134"/>
      <c r="K152" s="10" t="str">
        <f t="shared" si="16"/>
        <v/>
      </c>
      <c r="L152" s="10" t="str">
        <f t="shared" si="17"/>
        <v/>
      </c>
      <c r="M152" s="132"/>
      <c r="N152" s="135"/>
      <c r="O152" s="11" t="str">
        <f t="shared" si="18"/>
        <v/>
      </c>
      <c r="P152" s="12">
        <f t="shared" si="19"/>
        <v>4000</v>
      </c>
      <c r="Q152" s="132"/>
      <c r="R152" s="132"/>
      <c r="S152" s="132"/>
      <c r="T152" s="132"/>
      <c r="U152" s="13" t="str">
        <f>IFERROR(IF(AND(B152&lt;&gt;"",C152&lt;&gt;""),_xludf.DAYS(C152,B152),""),"—")</f>
        <v/>
      </c>
      <c r="V152" s="136"/>
      <c r="W152" s="137"/>
    </row>
    <row r="153" spans="1:23" ht="18" customHeight="1" x14ac:dyDescent="0.2">
      <c r="A153" s="9">
        <f>152</f>
        <v>152</v>
      </c>
      <c r="B153" s="131"/>
      <c r="C153" s="131"/>
      <c r="D153" s="132"/>
      <c r="E153" s="133"/>
      <c r="F153" s="132"/>
      <c r="G153" s="134"/>
      <c r="H153" s="134"/>
      <c r="I153" s="134"/>
      <c r="J153" s="134"/>
      <c r="K153" s="10" t="str">
        <f t="shared" si="16"/>
        <v/>
      </c>
      <c r="L153" s="10" t="str">
        <f t="shared" si="17"/>
        <v/>
      </c>
      <c r="M153" s="132"/>
      <c r="N153" s="135"/>
      <c r="O153" s="11" t="str">
        <f t="shared" si="18"/>
        <v/>
      </c>
      <c r="P153" s="12">
        <f t="shared" si="19"/>
        <v>4000</v>
      </c>
      <c r="Q153" s="132"/>
      <c r="R153" s="132"/>
      <c r="S153" s="132"/>
      <c r="T153" s="132"/>
      <c r="U153" s="13" t="str">
        <f>IFERROR(IF(AND(B153&lt;&gt;"",C153&lt;&gt;""),_xludf.DAYS(C153,B153),""),"—")</f>
        <v/>
      </c>
      <c r="V153" s="136"/>
      <c r="W153" s="137"/>
    </row>
    <row r="154" spans="1:23" ht="18" customHeight="1" x14ac:dyDescent="0.2">
      <c r="A154" s="9">
        <f>153</f>
        <v>153</v>
      </c>
      <c r="B154" s="131"/>
      <c r="C154" s="131"/>
      <c r="D154" s="132"/>
      <c r="E154" s="133"/>
      <c r="F154" s="132"/>
      <c r="G154" s="134"/>
      <c r="H154" s="134"/>
      <c r="I154" s="134"/>
      <c r="J154" s="134"/>
      <c r="K154" s="10" t="str">
        <f t="shared" si="16"/>
        <v/>
      </c>
      <c r="L154" s="10" t="str">
        <f t="shared" si="17"/>
        <v/>
      </c>
      <c r="M154" s="132"/>
      <c r="N154" s="135"/>
      <c r="O154" s="11" t="str">
        <f t="shared" si="18"/>
        <v/>
      </c>
      <c r="P154" s="12">
        <f t="shared" si="19"/>
        <v>4000</v>
      </c>
      <c r="Q154" s="132"/>
      <c r="R154" s="132"/>
      <c r="S154" s="132"/>
      <c r="T154" s="132"/>
      <c r="U154" s="13" t="str">
        <f>IFERROR(IF(AND(B154&lt;&gt;"",C154&lt;&gt;""),_xludf.DAYS(C154,B154),""),"—")</f>
        <v/>
      </c>
      <c r="V154" s="136"/>
      <c r="W154" s="137"/>
    </row>
    <row r="155" spans="1:23" ht="18" customHeight="1" x14ac:dyDescent="0.2">
      <c r="A155" s="9">
        <f>154</f>
        <v>154</v>
      </c>
      <c r="B155" s="131"/>
      <c r="C155" s="131"/>
      <c r="D155" s="132"/>
      <c r="E155" s="133"/>
      <c r="F155" s="132"/>
      <c r="G155" s="134"/>
      <c r="H155" s="134"/>
      <c r="I155" s="134"/>
      <c r="J155" s="134"/>
      <c r="K155" s="10" t="str">
        <f t="shared" si="16"/>
        <v/>
      </c>
      <c r="L155" s="10" t="str">
        <f t="shared" si="17"/>
        <v/>
      </c>
      <c r="M155" s="132"/>
      <c r="N155" s="135"/>
      <c r="O155" s="11" t="str">
        <f t="shared" si="18"/>
        <v/>
      </c>
      <c r="P155" s="12">
        <f t="shared" si="19"/>
        <v>4000</v>
      </c>
      <c r="Q155" s="132"/>
      <c r="R155" s="132"/>
      <c r="S155" s="132"/>
      <c r="T155" s="132"/>
      <c r="U155" s="13" t="str">
        <f>IFERROR(IF(AND(B155&lt;&gt;"",C155&lt;&gt;""),_xludf.DAYS(C155,B155),""),"—")</f>
        <v/>
      </c>
      <c r="V155" s="136"/>
      <c r="W155" s="137"/>
    </row>
    <row r="156" spans="1:23" ht="18" customHeight="1" x14ac:dyDescent="0.2">
      <c r="A156" s="9">
        <f>155</f>
        <v>155</v>
      </c>
      <c r="B156" s="131"/>
      <c r="C156" s="131"/>
      <c r="D156" s="132"/>
      <c r="E156" s="133"/>
      <c r="F156" s="132"/>
      <c r="G156" s="134"/>
      <c r="H156" s="134"/>
      <c r="I156" s="134"/>
      <c r="J156" s="134"/>
      <c r="K156" s="10" t="str">
        <f t="shared" si="16"/>
        <v/>
      </c>
      <c r="L156" s="10" t="str">
        <f t="shared" si="17"/>
        <v/>
      </c>
      <c r="M156" s="132"/>
      <c r="N156" s="135"/>
      <c r="O156" s="11" t="str">
        <f t="shared" si="18"/>
        <v/>
      </c>
      <c r="P156" s="12">
        <f t="shared" si="19"/>
        <v>4000</v>
      </c>
      <c r="Q156" s="132"/>
      <c r="R156" s="132"/>
      <c r="S156" s="132"/>
      <c r="T156" s="132"/>
      <c r="U156" s="13" t="str">
        <f>IFERROR(IF(AND(B156&lt;&gt;"",C156&lt;&gt;""),_xludf.DAYS(C156,B156),""),"—")</f>
        <v/>
      </c>
      <c r="V156" s="136"/>
      <c r="W156" s="137"/>
    </row>
    <row r="157" spans="1:23" ht="18" customHeight="1" x14ac:dyDescent="0.2">
      <c r="A157" s="9">
        <f>156</f>
        <v>156</v>
      </c>
      <c r="B157" s="131"/>
      <c r="C157" s="131"/>
      <c r="D157" s="132"/>
      <c r="E157" s="133"/>
      <c r="F157" s="132"/>
      <c r="G157" s="134"/>
      <c r="H157" s="134"/>
      <c r="I157" s="134"/>
      <c r="J157" s="134"/>
      <c r="K157" s="10" t="str">
        <f t="shared" si="16"/>
        <v/>
      </c>
      <c r="L157" s="10" t="str">
        <f t="shared" si="17"/>
        <v/>
      </c>
      <c r="M157" s="132"/>
      <c r="N157" s="135"/>
      <c r="O157" s="11" t="str">
        <f t="shared" si="18"/>
        <v/>
      </c>
      <c r="P157" s="12">
        <f t="shared" si="19"/>
        <v>4000</v>
      </c>
      <c r="Q157" s="132"/>
      <c r="R157" s="132"/>
      <c r="S157" s="132"/>
      <c r="T157" s="132"/>
      <c r="U157" s="13" t="str">
        <f>IFERROR(IF(AND(B157&lt;&gt;"",C157&lt;&gt;""),_xludf.DAYS(C157,B157),""),"—")</f>
        <v/>
      </c>
      <c r="V157" s="136"/>
      <c r="W157" s="137"/>
    </row>
    <row r="158" spans="1:23" ht="18" customHeight="1" x14ac:dyDescent="0.2">
      <c r="A158" s="9">
        <f>157</f>
        <v>157</v>
      </c>
      <c r="B158" s="131"/>
      <c r="C158" s="131"/>
      <c r="D158" s="132"/>
      <c r="E158" s="133"/>
      <c r="F158" s="132"/>
      <c r="G158" s="134"/>
      <c r="H158" s="134"/>
      <c r="I158" s="134"/>
      <c r="J158" s="134"/>
      <c r="K158" s="10" t="str">
        <f t="shared" si="16"/>
        <v/>
      </c>
      <c r="L158" s="10" t="str">
        <f t="shared" si="17"/>
        <v/>
      </c>
      <c r="M158" s="132"/>
      <c r="N158" s="135"/>
      <c r="O158" s="11" t="str">
        <f t="shared" si="18"/>
        <v/>
      </c>
      <c r="P158" s="12">
        <f t="shared" si="19"/>
        <v>4000</v>
      </c>
      <c r="Q158" s="132"/>
      <c r="R158" s="132"/>
      <c r="S158" s="132"/>
      <c r="T158" s="132"/>
      <c r="U158" s="13" t="str">
        <f>IFERROR(IF(AND(B158&lt;&gt;"",C158&lt;&gt;""),_xludf.DAYS(C158,B158),""),"—")</f>
        <v/>
      </c>
      <c r="V158" s="136"/>
      <c r="W158" s="137"/>
    </row>
    <row r="159" spans="1:23" ht="18" customHeight="1" x14ac:dyDescent="0.2">
      <c r="A159" s="9">
        <f>158</f>
        <v>158</v>
      </c>
      <c r="B159" s="131"/>
      <c r="C159" s="131"/>
      <c r="D159" s="132"/>
      <c r="E159" s="133"/>
      <c r="F159" s="132"/>
      <c r="G159" s="134"/>
      <c r="H159" s="134"/>
      <c r="I159" s="134"/>
      <c r="J159" s="134"/>
      <c r="K159" s="10" t="str">
        <f t="shared" si="16"/>
        <v/>
      </c>
      <c r="L159" s="10" t="str">
        <f t="shared" si="17"/>
        <v/>
      </c>
      <c r="M159" s="132"/>
      <c r="N159" s="135"/>
      <c r="O159" s="11" t="str">
        <f t="shared" si="18"/>
        <v/>
      </c>
      <c r="P159" s="12">
        <f t="shared" si="19"/>
        <v>4000</v>
      </c>
      <c r="Q159" s="132"/>
      <c r="R159" s="132"/>
      <c r="S159" s="132"/>
      <c r="T159" s="132"/>
      <c r="U159" s="13" t="str">
        <f>IFERROR(IF(AND(B159&lt;&gt;"",C159&lt;&gt;""),_xludf.DAYS(C159,B159),""),"—")</f>
        <v/>
      </c>
      <c r="V159" s="136"/>
      <c r="W159" s="137"/>
    </row>
    <row r="160" spans="1:23" ht="18" customHeight="1" x14ac:dyDescent="0.2">
      <c r="A160" s="9">
        <f>159</f>
        <v>159</v>
      </c>
      <c r="B160" s="131"/>
      <c r="C160" s="131"/>
      <c r="D160" s="132"/>
      <c r="E160" s="133"/>
      <c r="F160" s="132"/>
      <c r="G160" s="134"/>
      <c r="H160" s="134"/>
      <c r="I160" s="134"/>
      <c r="J160" s="134"/>
      <c r="K160" s="10" t="str">
        <f t="shared" si="16"/>
        <v/>
      </c>
      <c r="L160" s="10" t="str">
        <f t="shared" si="17"/>
        <v/>
      </c>
      <c r="M160" s="132"/>
      <c r="N160" s="135"/>
      <c r="O160" s="11" t="str">
        <f t="shared" si="18"/>
        <v/>
      </c>
      <c r="P160" s="12">
        <f t="shared" si="19"/>
        <v>4000</v>
      </c>
      <c r="Q160" s="132"/>
      <c r="R160" s="132"/>
      <c r="S160" s="132"/>
      <c r="T160" s="132"/>
      <c r="U160" s="13" t="str">
        <f>IFERROR(IF(AND(B160&lt;&gt;"",C160&lt;&gt;""),_xludf.DAYS(C160,B160),""),"—")</f>
        <v/>
      </c>
      <c r="V160" s="136"/>
      <c r="W160" s="137"/>
    </row>
    <row r="161" spans="1:23" ht="18" customHeight="1" x14ac:dyDescent="0.2">
      <c r="A161" s="9">
        <f>160</f>
        <v>160</v>
      </c>
      <c r="B161" s="131"/>
      <c r="C161" s="131"/>
      <c r="D161" s="132"/>
      <c r="E161" s="133"/>
      <c r="F161" s="132"/>
      <c r="G161" s="134"/>
      <c r="H161" s="134"/>
      <c r="I161" s="134"/>
      <c r="J161" s="134"/>
      <c r="K161" s="10" t="str">
        <f t="shared" si="16"/>
        <v/>
      </c>
      <c r="L161" s="10" t="str">
        <f t="shared" si="17"/>
        <v/>
      </c>
      <c r="M161" s="132"/>
      <c r="N161" s="135"/>
      <c r="O161" s="11" t="str">
        <f t="shared" si="18"/>
        <v/>
      </c>
      <c r="P161" s="12">
        <f t="shared" si="19"/>
        <v>4000</v>
      </c>
      <c r="Q161" s="132"/>
      <c r="R161" s="132"/>
      <c r="S161" s="132"/>
      <c r="T161" s="132"/>
      <c r="U161" s="13" t="str">
        <f>IFERROR(IF(AND(B161&lt;&gt;"",C161&lt;&gt;""),_xludf.DAYS(C161,B161),""),"—")</f>
        <v/>
      </c>
      <c r="V161" s="136"/>
      <c r="W161" s="137"/>
    </row>
    <row r="162" spans="1:23" ht="18" customHeight="1" x14ac:dyDescent="0.2">
      <c r="A162" s="9">
        <f>161</f>
        <v>161</v>
      </c>
      <c r="B162" s="131"/>
      <c r="C162" s="131"/>
      <c r="D162" s="132"/>
      <c r="E162" s="133"/>
      <c r="F162" s="132"/>
      <c r="G162" s="134"/>
      <c r="H162" s="134"/>
      <c r="I162" s="134"/>
      <c r="J162" s="134"/>
      <c r="K162" s="10" t="str">
        <f t="shared" ref="K162:K193" si="20">IFERROR(IF(F162="Mua",(I162-G162)/(G162-H162),(G162-I162)/(H162-G162)),"")</f>
        <v/>
      </c>
      <c r="L162" s="10" t="str">
        <f t="shared" ref="L162:L193" si="21">IFERROR(IF(F162="Mua",(J162-G162)/(G162-H162),(G162-J162)/(H162-G162)),"")</f>
        <v/>
      </c>
      <c r="M162" s="132"/>
      <c r="N162" s="135"/>
      <c r="O162" s="11" t="str">
        <f t="shared" si="18"/>
        <v/>
      </c>
      <c r="P162" s="12">
        <f t="shared" si="19"/>
        <v>4000</v>
      </c>
      <c r="Q162" s="132"/>
      <c r="R162" s="132"/>
      <c r="S162" s="132"/>
      <c r="T162" s="132"/>
      <c r="U162" s="13" t="str">
        <f>IFERROR(IF(AND(B162&lt;&gt;"",C162&lt;&gt;""),_xludf.DAYS(C162,B162),""),"—")</f>
        <v/>
      </c>
      <c r="V162" s="136"/>
      <c r="W162" s="137"/>
    </row>
    <row r="163" spans="1:23" ht="18" customHeight="1" x14ac:dyDescent="0.2">
      <c r="A163" s="9">
        <f>162</f>
        <v>162</v>
      </c>
      <c r="B163" s="131"/>
      <c r="C163" s="131"/>
      <c r="D163" s="132"/>
      <c r="E163" s="133"/>
      <c r="F163" s="132"/>
      <c r="G163" s="134"/>
      <c r="H163" s="134"/>
      <c r="I163" s="134"/>
      <c r="J163" s="134"/>
      <c r="K163" s="10" t="str">
        <f t="shared" si="20"/>
        <v/>
      </c>
      <c r="L163" s="10" t="str">
        <f t="shared" si="21"/>
        <v/>
      </c>
      <c r="M163" s="132"/>
      <c r="N163" s="135"/>
      <c r="O163" s="11" t="str">
        <f t="shared" ref="O163:O194" si="22">IFERROR(IF(N163&lt;&gt;"",N163/P162,""),"")</f>
        <v/>
      </c>
      <c r="P163" s="12">
        <f t="shared" ref="P163:P194" si="23">IF(N163&lt;&gt;"",P162+N163,P162)</f>
        <v>4000</v>
      </c>
      <c r="Q163" s="132"/>
      <c r="R163" s="132"/>
      <c r="S163" s="132"/>
      <c r="T163" s="132"/>
      <c r="U163" s="13" t="str">
        <f>IFERROR(IF(AND(B163&lt;&gt;"",C163&lt;&gt;""),_xludf.DAYS(C163,B163),""),"—")</f>
        <v/>
      </c>
      <c r="V163" s="136"/>
      <c r="W163" s="137"/>
    </row>
    <row r="164" spans="1:23" ht="18" customHeight="1" x14ac:dyDescent="0.2">
      <c r="A164" s="9">
        <f>163</f>
        <v>163</v>
      </c>
      <c r="B164" s="131"/>
      <c r="C164" s="131"/>
      <c r="D164" s="132"/>
      <c r="E164" s="133"/>
      <c r="F164" s="132"/>
      <c r="G164" s="134"/>
      <c r="H164" s="134"/>
      <c r="I164" s="134"/>
      <c r="J164" s="134"/>
      <c r="K164" s="10" t="str">
        <f t="shared" si="20"/>
        <v/>
      </c>
      <c r="L164" s="10" t="str">
        <f t="shared" si="21"/>
        <v/>
      </c>
      <c r="M164" s="132"/>
      <c r="N164" s="135"/>
      <c r="O164" s="11" t="str">
        <f t="shared" si="22"/>
        <v/>
      </c>
      <c r="P164" s="12">
        <f t="shared" si="23"/>
        <v>4000</v>
      </c>
      <c r="Q164" s="132"/>
      <c r="R164" s="132"/>
      <c r="S164" s="132"/>
      <c r="T164" s="132"/>
      <c r="U164" s="13" t="str">
        <f>IFERROR(IF(AND(B164&lt;&gt;"",C164&lt;&gt;""),_xludf.DAYS(C164,B164),""),"—")</f>
        <v/>
      </c>
      <c r="V164" s="136"/>
      <c r="W164" s="137"/>
    </row>
    <row r="165" spans="1:23" ht="18" customHeight="1" x14ac:dyDescent="0.2">
      <c r="A165" s="9">
        <f>164</f>
        <v>164</v>
      </c>
      <c r="B165" s="131"/>
      <c r="C165" s="131"/>
      <c r="D165" s="132"/>
      <c r="E165" s="133"/>
      <c r="F165" s="132"/>
      <c r="G165" s="134"/>
      <c r="H165" s="134"/>
      <c r="I165" s="134"/>
      <c r="J165" s="134"/>
      <c r="K165" s="10" t="str">
        <f t="shared" si="20"/>
        <v/>
      </c>
      <c r="L165" s="10" t="str">
        <f t="shared" si="21"/>
        <v/>
      </c>
      <c r="M165" s="132"/>
      <c r="N165" s="135"/>
      <c r="O165" s="11" t="str">
        <f t="shared" si="22"/>
        <v/>
      </c>
      <c r="P165" s="12">
        <f t="shared" si="23"/>
        <v>4000</v>
      </c>
      <c r="Q165" s="132"/>
      <c r="R165" s="132"/>
      <c r="S165" s="132"/>
      <c r="T165" s="132"/>
      <c r="U165" s="13" t="str">
        <f>IFERROR(IF(AND(B165&lt;&gt;"",C165&lt;&gt;""),_xludf.DAYS(C165,B165),""),"—")</f>
        <v/>
      </c>
      <c r="V165" s="136"/>
      <c r="W165" s="137"/>
    </row>
    <row r="166" spans="1:23" ht="18" customHeight="1" x14ac:dyDescent="0.2">
      <c r="A166" s="9">
        <f>165</f>
        <v>165</v>
      </c>
      <c r="B166" s="131"/>
      <c r="C166" s="131"/>
      <c r="D166" s="132"/>
      <c r="E166" s="133"/>
      <c r="F166" s="132"/>
      <c r="G166" s="134"/>
      <c r="H166" s="134"/>
      <c r="I166" s="134"/>
      <c r="J166" s="134"/>
      <c r="K166" s="10" t="str">
        <f t="shared" si="20"/>
        <v/>
      </c>
      <c r="L166" s="10" t="str">
        <f t="shared" si="21"/>
        <v/>
      </c>
      <c r="M166" s="132"/>
      <c r="N166" s="135"/>
      <c r="O166" s="11" t="str">
        <f t="shared" si="22"/>
        <v/>
      </c>
      <c r="P166" s="12">
        <f t="shared" si="23"/>
        <v>4000</v>
      </c>
      <c r="Q166" s="132"/>
      <c r="R166" s="132"/>
      <c r="S166" s="132"/>
      <c r="T166" s="132"/>
      <c r="U166" s="13" t="str">
        <f>IFERROR(IF(AND(B166&lt;&gt;"",C166&lt;&gt;""),_xludf.DAYS(C166,B166),""),"—")</f>
        <v/>
      </c>
      <c r="V166" s="136"/>
      <c r="W166" s="137"/>
    </row>
    <row r="167" spans="1:23" ht="18" customHeight="1" x14ac:dyDescent="0.2">
      <c r="A167" s="9">
        <f>166</f>
        <v>166</v>
      </c>
      <c r="B167" s="131"/>
      <c r="C167" s="131"/>
      <c r="D167" s="132"/>
      <c r="E167" s="133"/>
      <c r="F167" s="132"/>
      <c r="G167" s="134"/>
      <c r="H167" s="134"/>
      <c r="I167" s="134"/>
      <c r="J167" s="134"/>
      <c r="K167" s="10" t="str">
        <f t="shared" si="20"/>
        <v/>
      </c>
      <c r="L167" s="10" t="str">
        <f t="shared" si="21"/>
        <v/>
      </c>
      <c r="M167" s="132"/>
      <c r="N167" s="135"/>
      <c r="O167" s="11" t="str">
        <f t="shared" si="22"/>
        <v/>
      </c>
      <c r="P167" s="12">
        <f t="shared" si="23"/>
        <v>4000</v>
      </c>
      <c r="Q167" s="132"/>
      <c r="R167" s="132"/>
      <c r="S167" s="132"/>
      <c r="T167" s="132"/>
      <c r="U167" s="13" t="str">
        <f>IFERROR(IF(AND(B167&lt;&gt;"",C167&lt;&gt;""),_xludf.DAYS(C167,B167),""),"—")</f>
        <v/>
      </c>
      <c r="V167" s="136"/>
      <c r="W167" s="137"/>
    </row>
    <row r="168" spans="1:23" ht="18" customHeight="1" x14ac:dyDescent="0.2">
      <c r="A168" s="9">
        <f>167</f>
        <v>167</v>
      </c>
      <c r="B168" s="131"/>
      <c r="C168" s="131"/>
      <c r="D168" s="132"/>
      <c r="E168" s="133"/>
      <c r="F168" s="132"/>
      <c r="G168" s="134"/>
      <c r="H168" s="134"/>
      <c r="I168" s="134"/>
      <c r="J168" s="134"/>
      <c r="K168" s="10" t="str">
        <f t="shared" si="20"/>
        <v/>
      </c>
      <c r="L168" s="10" t="str">
        <f t="shared" si="21"/>
        <v/>
      </c>
      <c r="M168" s="132"/>
      <c r="N168" s="135"/>
      <c r="O168" s="11" t="str">
        <f t="shared" si="22"/>
        <v/>
      </c>
      <c r="P168" s="12">
        <f t="shared" si="23"/>
        <v>4000</v>
      </c>
      <c r="Q168" s="132"/>
      <c r="R168" s="132"/>
      <c r="S168" s="132"/>
      <c r="T168" s="132"/>
      <c r="U168" s="13" t="str">
        <f>IFERROR(IF(AND(B168&lt;&gt;"",C168&lt;&gt;""),_xludf.DAYS(C168,B168),""),"—")</f>
        <v/>
      </c>
      <c r="V168" s="136"/>
      <c r="W168" s="137"/>
    </row>
    <row r="169" spans="1:23" ht="18" customHeight="1" x14ac:dyDescent="0.2">
      <c r="A169" s="9">
        <f>168</f>
        <v>168</v>
      </c>
      <c r="B169" s="131"/>
      <c r="C169" s="131"/>
      <c r="D169" s="132"/>
      <c r="E169" s="133"/>
      <c r="F169" s="132"/>
      <c r="G169" s="134"/>
      <c r="H169" s="134"/>
      <c r="I169" s="134"/>
      <c r="J169" s="134"/>
      <c r="K169" s="10" t="str">
        <f t="shared" si="20"/>
        <v/>
      </c>
      <c r="L169" s="10" t="str">
        <f t="shared" si="21"/>
        <v/>
      </c>
      <c r="M169" s="132"/>
      <c r="N169" s="135"/>
      <c r="O169" s="11" t="str">
        <f t="shared" si="22"/>
        <v/>
      </c>
      <c r="P169" s="12">
        <f t="shared" si="23"/>
        <v>4000</v>
      </c>
      <c r="Q169" s="132"/>
      <c r="R169" s="132"/>
      <c r="S169" s="132"/>
      <c r="T169" s="132"/>
      <c r="U169" s="13" t="str">
        <f>IFERROR(IF(AND(B169&lt;&gt;"",C169&lt;&gt;""),_xludf.DAYS(C169,B169),""),"—")</f>
        <v/>
      </c>
      <c r="V169" s="136"/>
      <c r="W169" s="137"/>
    </row>
    <row r="170" spans="1:23" ht="18" customHeight="1" x14ac:dyDescent="0.2">
      <c r="A170" s="9">
        <f>169</f>
        <v>169</v>
      </c>
      <c r="B170" s="131"/>
      <c r="C170" s="131"/>
      <c r="D170" s="132"/>
      <c r="E170" s="133"/>
      <c r="F170" s="132"/>
      <c r="G170" s="134"/>
      <c r="H170" s="134"/>
      <c r="I170" s="134"/>
      <c r="J170" s="134"/>
      <c r="K170" s="10" t="str">
        <f t="shared" si="20"/>
        <v/>
      </c>
      <c r="L170" s="10" t="str">
        <f t="shared" si="21"/>
        <v/>
      </c>
      <c r="M170" s="132"/>
      <c r="N170" s="135"/>
      <c r="O170" s="11" t="str">
        <f t="shared" si="22"/>
        <v/>
      </c>
      <c r="P170" s="12">
        <f t="shared" si="23"/>
        <v>4000</v>
      </c>
      <c r="Q170" s="132"/>
      <c r="R170" s="132"/>
      <c r="S170" s="132"/>
      <c r="T170" s="132"/>
      <c r="U170" s="13" t="str">
        <f>IFERROR(IF(AND(B170&lt;&gt;"",C170&lt;&gt;""),_xludf.DAYS(C170,B170),""),"—")</f>
        <v/>
      </c>
      <c r="V170" s="136"/>
      <c r="W170" s="137"/>
    </row>
    <row r="171" spans="1:23" ht="18" customHeight="1" x14ac:dyDescent="0.2">
      <c r="A171" s="9">
        <f>170</f>
        <v>170</v>
      </c>
      <c r="B171" s="131"/>
      <c r="C171" s="131"/>
      <c r="D171" s="132"/>
      <c r="E171" s="133"/>
      <c r="F171" s="132"/>
      <c r="G171" s="134"/>
      <c r="H171" s="134"/>
      <c r="I171" s="134"/>
      <c r="J171" s="134"/>
      <c r="K171" s="10" t="str">
        <f t="shared" si="20"/>
        <v/>
      </c>
      <c r="L171" s="10" t="str">
        <f t="shared" si="21"/>
        <v/>
      </c>
      <c r="M171" s="132"/>
      <c r="N171" s="135"/>
      <c r="O171" s="11" t="str">
        <f t="shared" si="22"/>
        <v/>
      </c>
      <c r="P171" s="12">
        <f t="shared" si="23"/>
        <v>4000</v>
      </c>
      <c r="Q171" s="132"/>
      <c r="R171" s="132"/>
      <c r="S171" s="132"/>
      <c r="T171" s="132"/>
      <c r="U171" s="13" t="str">
        <f>IFERROR(IF(AND(B171&lt;&gt;"",C171&lt;&gt;""),_xludf.DAYS(C171,B171),""),"—")</f>
        <v/>
      </c>
      <c r="V171" s="136"/>
      <c r="W171" s="137"/>
    </row>
    <row r="172" spans="1:23" ht="18" customHeight="1" x14ac:dyDescent="0.2">
      <c r="A172" s="9">
        <f>171</f>
        <v>171</v>
      </c>
      <c r="B172" s="131"/>
      <c r="C172" s="131"/>
      <c r="D172" s="132"/>
      <c r="E172" s="133"/>
      <c r="F172" s="132"/>
      <c r="G172" s="134"/>
      <c r="H172" s="134"/>
      <c r="I172" s="134"/>
      <c r="J172" s="134"/>
      <c r="K172" s="10" t="str">
        <f t="shared" si="20"/>
        <v/>
      </c>
      <c r="L172" s="10" t="str">
        <f t="shared" si="21"/>
        <v/>
      </c>
      <c r="M172" s="132"/>
      <c r="N172" s="135"/>
      <c r="O172" s="11" t="str">
        <f t="shared" si="22"/>
        <v/>
      </c>
      <c r="P172" s="12">
        <f t="shared" si="23"/>
        <v>4000</v>
      </c>
      <c r="Q172" s="132"/>
      <c r="R172" s="132"/>
      <c r="S172" s="132"/>
      <c r="T172" s="132"/>
      <c r="U172" s="13" t="str">
        <f>IFERROR(IF(AND(B172&lt;&gt;"",C172&lt;&gt;""),_xludf.DAYS(C172,B172),""),"—")</f>
        <v/>
      </c>
      <c r="V172" s="136"/>
      <c r="W172" s="137"/>
    </row>
    <row r="173" spans="1:23" ht="18" customHeight="1" x14ac:dyDescent="0.2">
      <c r="A173" s="9">
        <f>172</f>
        <v>172</v>
      </c>
      <c r="B173" s="131"/>
      <c r="C173" s="131"/>
      <c r="D173" s="132"/>
      <c r="E173" s="133"/>
      <c r="F173" s="132"/>
      <c r="G173" s="134"/>
      <c r="H173" s="134"/>
      <c r="I173" s="134"/>
      <c r="J173" s="134"/>
      <c r="K173" s="10" t="str">
        <f t="shared" si="20"/>
        <v/>
      </c>
      <c r="L173" s="10" t="str">
        <f t="shared" si="21"/>
        <v/>
      </c>
      <c r="M173" s="132"/>
      <c r="N173" s="135"/>
      <c r="O173" s="11" t="str">
        <f t="shared" si="22"/>
        <v/>
      </c>
      <c r="P173" s="12">
        <f t="shared" si="23"/>
        <v>4000</v>
      </c>
      <c r="Q173" s="132"/>
      <c r="R173" s="132"/>
      <c r="S173" s="132"/>
      <c r="T173" s="132"/>
      <c r="U173" s="13" t="str">
        <f>IFERROR(IF(AND(B173&lt;&gt;"",C173&lt;&gt;""),_xludf.DAYS(C173,B173),""),"—")</f>
        <v/>
      </c>
      <c r="V173" s="136"/>
      <c r="W173" s="137"/>
    </row>
    <row r="174" spans="1:23" ht="18" customHeight="1" x14ac:dyDescent="0.2">
      <c r="A174" s="9">
        <f>173</f>
        <v>173</v>
      </c>
      <c r="B174" s="131"/>
      <c r="C174" s="131"/>
      <c r="D174" s="132"/>
      <c r="E174" s="133"/>
      <c r="F174" s="132"/>
      <c r="G174" s="134"/>
      <c r="H174" s="134"/>
      <c r="I174" s="134"/>
      <c r="J174" s="134"/>
      <c r="K174" s="10" t="str">
        <f t="shared" si="20"/>
        <v/>
      </c>
      <c r="L174" s="10" t="str">
        <f t="shared" si="21"/>
        <v/>
      </c>
      <c r="M174" s="132"/>
      <c r="N174" s="135"/>
      <c r="O174" s="11" t="str">
        <f t="shared" si="22"/>
        <v/>
      </c>
      <c r="P174" s="12">
        <f t="shared" si="23"/>
        <v>4000</v>
      </c>
      <c r="Q174" s="132"/>
      <c r="R174" s="132"/>
      <c r="S174" s="132"/>
      <c r="T174" s="132"/>
      <c r="U174" s="13" t="str">
        <f>IFERROR(IF(AND(B174&lt;&gt;"",C174&lt;&gt;""),_xludf.DAYS(C174,B174),""),"—")</f>
        <v/>
      </c>
      <c r="V174" s="136"/>
      <c r="W174" s="137"/>
    </row>
    <row r="175" spans="1:23" ht="18" customHeight="1" x14ac:dyDescent="0.2">
      <c r="A175" s="9">
        <f>174</f>
        <v>174</v>
      </c>
      <c r="B175" s="131"/>
      <c r="C175" s="131"/>
      <c r="D175" s="132"/>
      <c r="E175" s="133"/>
      <c r="F175" s="132"/>
      <c r="G175" s="134"/>
      <c r="H175" s="134"/>
      <c r="I175" s="134"/>
      <c r="J175" s="134"/>
      <c r="K175" s="10" t="str">
        <f t="shared" si="20"/>
        <v/>
      </c>
      <c r="L175" s="10" t="str">
        <f t="shared" si="21"/>
        <v/>
      </c>
      <c r="M175" s="132"/>
      <c r="N175" s="135"/>
      <c r="O175" s="11" t="str">
        <f t="shared" si="22"/>
        <v/>
      </c>
      <c r="P175" s="12">
        <f t="shared" si="23"/>
        <v>4000</v>
      </c>
      <c r="Q175" s="132"/>
      <c r="R175" s="132"/>
      <c r="S175" s="132"/>
      <c r="T175" s="132"/>
      <c r="U175" s="13" t="str">
        <f>IFERROR(IF(AND(B175&lt;&gt;"",C175&lt;&gt;""),_xludf.DAYS(C175,B175),""),"—")</f>
        <v/>
      </c>
      <c r="V175" s="136"/>
      <c r="W175" s="137"/>
    </row>
    <row r="176" spans="1:23" ht="18" customHeight="1" x14ac:dyDescent="0.2">
      <c r="A176" s="9">
        <f>175</f>
        <v>175</v>
      </c>
      <c r="B176" s="131"/>
      <c r="C176" s="131"/>
      <c r="D176" s="132"/>
      <c r="E176" s="133"/>
      <c r="F176" s="132"/>
      <c r="G176" s="134"/>
      <c r="H176" s="134"/>
      <c r="I176" s="134"/>
      <c r="J176" s="134"/>
      <c r="K176" s="10" t="str">
        <f t="shared" si="20"/>
        <v/>
      </c>
      <c r="L176" s="10" t="str">
        <f t="shared" si="21"/>
        <v/>
      </c>
      <c r="M176" s="132"/>
      <c r="N176" s="135"/>
      <c r="O176" s="11" t="str">
        <f t="shared" si="22"/>
        <v/>
      </c>
      <c r="P176" s="12">
        <f t="shared" si="23"/>
        <v>4000</v>
      </c>
      <c r="Q176" s="132"/>
      <c r="R176" s="132"/>
      <c r="S176" s="132"/>
      <c r="T176" s="132"/>
      <c r="U176" s="13" t="str">
        <f>IFERROR(IF(AND(B176&lt;&gt;"",C176&lt;&gt;""),_xludf.DAYS(C176,B176),""),"—")</f>
        <v/>
      </c>
      <c r="V176" s="136"/>
      <c r="W176" s="137"/>
    </row>
    <row r="177" spans="1:23" ht="18" customHeight="1" x14ac:dyDescent="0.2">
      <c r="A177" s="9">
        <f>176</f>
        <v>176</v>
      </c>
      <c r="B177" s="131"/>
      <c r="C177" s="131"/>
      <c r="D177" s="132"/>
      <c r="E177" s="133"/>
      <c r="F177" s="132"/>
      <c r="G177" s="134"/>
      <c r="H177" s="134"/>
      <c r="I177" s="134"/>
      <c r="J177" s="134"/>
      <c r="K177" s="10" t="str">
        <f t="shared" si="20"/>
        <v/>
      </c>
      <c r="L177" s="10" t="str">
        <f t="shared" si="21"/>
        <v/>
      </c>
      <c r="M177" s="132"/>
      <c r="N177" s="135"/>
      <c r="O177" s="11" t="str">
        <f t="shared" si="22"/>
        <v/>
      </c>
      <c r="P177" s="12">
        <f t="shared" si="23"/>
        <v>4000</v>
      </c>
      <c r="Q177" s="132"/>
      <c r="R177" s="132"/>
      <c r="S177" s="132"/>
      <c r="T177" s="132"/>
      <c r="U177" s="13" t="str">
        <f>IFERROR(IF(AND(B177&lt;&gt;"",C177&lt;&gt;""),_xludf.DAYS(C177,B177),""),"—")</f>
        <v/>
      </c>
      <c r="V177" s="136"/>
      <c r="W177" s="137"/>
    </row>
    <row r="178" spans="1:23" ht="18" customHeight="1" x14ac:dyDescent="0.2">
      <c r="A178" s="9">
        <f>177</f>
        <v>177</v>
      </c>
      <c r="B178" s="131"/>
      <c r="C178" s="131"/>
      <c r="D178" s="132"/>
      <c r="E178" s="133"/>
      <c r="F178" s="132"/>
      <c r="G178" s="134"/>
      <c r="H178" s="134"/>
      <c r="I178" s="134"/>
      <c r="J178" s="134"/>
      <c r="K178" s="10" t="str">
        <f t="shared" si="20"/>
        <v/>
      </c>
      <c r="L178" s="10" t="str">
        <f t="shared" si="21"/>
        <v/>
      </c>
      <c r="M178" s="132"/>
      <c r="N178" s="135"/>
      <c r="O178" s="11" t="str">
        <f t="shared" si="22"/>
        <v/>
      </c>
      <c r="P178" s="12">
        <f t="shared" si="23"/>
        <v>4000</v>
      </c>
      <c r="Q178" s="132"/>
      <c r="R178" s="132"/>
      <c r="S178" s="132"/>
      <c r="T178" s="132"/>
      <c r="U178" s="13" t="str">
        <f>IFERROR(IF(AND(B178&lt;&gt;"",C178&lt;&gt;""),_xludf.DAYS(C178,B178),""),"—")</f>
        <v/>
      </c>
      <c r="V178" s="136"/>
      <c r="W178" s="137"/>
    </row>
    <row r="179" spans="1:23" ht="18" customHeight="1" x14ac:dyDescent="0.2">
      <c r="A179" s="9">
        <f>178</f>
        <v>178</v>
      </c>
      <c r="B179" s="131"/>
      <c r="C179" s="131"/>
      <c r="D179" s="132"/>
      <c r="E179" s="133"/>
      <c r="F179" s="132"/>
      <c r="G179" s="134"/>
      <c r="H179" s="134"/>
      <c r="I179" s="134"/>
      <c r="J179" s="134"/>
      <c r="K179" s="10" t="str">
        <f t="shared" si="20"/>
        <v/>
      </c>
      <c r="L179" s="10" t="str">
        <f t="shared" si="21"/>
        <v/>
      </c>
      <c r="M179" s="132"/>
      <c r="N179" s="135"/>
      <c r="O179" s="11" t="str">
        <f t="shared" si="22"/>
        <v/>
      </c>
      <c r="P179" s="12">
        <f t="shared" si="23"/>
        <v>4000</v>
      </c>
      <c r="Q179" s="132"/>
      <c r="R179" s="132"/>
      <c r="S179" s="132"/>
      <c r="T179" s="132"/>
      <c r="U179" s="13" t="str">
        <f>IFERROR(IF(AND(B179&lt;&gt;"",C179&lt;&gt;""),_xludf.DAYS(C179,B179),""),"—")</f>
        <v/>
      </c>
      <c r="V179" s="136"/>
      <c r="W179" s="137"/>
    </row>
    <row r="180" spans="1:23" ht="18" customHeight="1" x14ac:dyDescent="0.2">
      <c r="A180" s="9">
        <f>179</f>
        <v>179</v>
      </c>
      <c r="B180" s="131"/>
      <c r="C180" s="131"/>
      <c r="D180" s="132"/>
      <c r="E180" s="133"/>
      <c r="F180" s="132"/>
      <c r="G180" s="134"/>
      <c r="H180" s="134"/>
      <c r="I180" s="134"/>
      <c r="J180" s="134"/>
      <c r="K180" s="10" t="str">
        <f t="shared" si="20"/>
        <v/>
      </c>
      <c r="L180" s="10" t="str">
        <f t="shared" si="21"/>
        <v/>
      </c>
      <c r="M180" s="132"/>
      <c r="N180" s="135"/>
      <c r="O180" s="11" t="str">
        <f t="shared" si="22"/>
        <v/>
      </c>
      <c r="P180" s="12">
        <f t="shared" si="23"/>
        <v>4000</v>
      </c>
      <c r="Q180" s="132"/>
      <c r="R180" s="132"/>
      <c r="S180" s="132"/>
      <c r="T180" s="132"/>
      <c r="U180" s="13" t="str">
        <f>IFERROR(IF(AND(B180&lt;&gt;"",C180&lt;&gt;""),_xludf.DAYS(C180,B180),""),"—")</f>
        <v/>
      </c>
      <c r="V180" s="136"/>
      <c r="W180" s="137"/>
    </row>
    <row r="181" spans="1:23" ht="18" customHeight="1" x14ac:dyDescent="0.2">
      <c r="A181" s="9">
        <f>180</f>
        <v>180</v>
      </c>
      <c r="B181" s="131"/>
      <c r="C181" s="131"/>
      <c r="D181" s="132"/>
      <c r="E181" s="133"/>
      <c r="F181" s="132"/>
      <c r="G181" s="134"/>
      <c r="H181" s="134"/>
      <c r="I181" s="134"/>
      <c r="J181" s="134"/>
      <c r="K181" s="10" t="str">
        <f t="shared" si="20"/>
        <v/>
      </c>
      <c r="L181" s="10" t="str">
        <f t="shared" si="21"/>
        <v/>
      </c>
      <c r="M181" s="132"/>
      <c r="N181" s="135"/>
      <c r="O181" s="11" t="str">
        <f t="shared" si="22"/>
        <v/>
      </c>
      <c r="P181" s="12">
        <f t="shared" si="23"/>
        <v>4000</v>
      </c>
      <c r="Q181" s="132"/>
      <c r="R181" s="132"/>
      <c r="S181" s="132"/>
      <c r="T181" s="132"/>
      <c r="U181" s="13" t="str">
        <f>IFERROR(IF(AND(B181&lt;&gt;"",C181&lt;&gt;""),_xludf.DAYS(C181,B181),""),"—")</f>
        <v/>
      </c>
      <c r="V181" s="136"/>
      <c r="W181" s="137"/>
    </row>
    <row r="182" spans="1:23" ht="18" customHeight="1" x14ac:dyDescent="0.2">
      <c r="A182" s="9">
        <f>181</f>
        <v>181</v>
      </c>
      <c r="B182" s="131"/>
      <c r="C182" s="131"/>
      <c r="D182" s="132"/>
      <c r="E182" s="133"/>
      <c r="F182" s="132"/>
      <c r="G182" s="134"/>
      <c r="H182" s="134"/>
      <c r="I182" s="134"/>
      <c r="J182" s="134"/>
      <c r="K182" s="10" t="str">
        <f t="shared" si="20"/>
        <v/>
      </c>
      <c r="L182" s="10" t="str">
        <f t="shared" si="21"/>
        <v/>
      </c>
      <c r="M182" s="132"/>
      <c r="N182" s="135"/>
      <c r="O182" s="11" t="str">
        <f t="shared" si="22"/>
        <v/>
      </c>
      <c r="P182" s="12">
        <f t="shared" si="23"/>
        <v>4000</v>
      </c>
      <c r="Q182" s="132"/>
      <c r="R182" s="132"/>
      <c r="S182" s="132"/>
      <c r="T182" s="132"/>
      <c r="U182" s="13" t="str">
        <f>IFERROR(IF(AND(B182&lt;&gt;"",C182&lt;&gt;""),_xludf.DAYS(C182,B182),""),"—")</f>
        <v/>
      </c>
      <c r="V182" s="136"/>
      <c r="W182" s="137"/>
    </row>
    <row r="183" spans="1:23" ht="18" customHeight="1" x14ac:dyDescent="0.2">
      <c r="A183" s="9">
        <f>182</f>
        <v>182</v>
      </c>
      <c r="B183" s="131"/>
      <c r="C183" s="131"/>
      <c r="D183" s="132"/>
      <c r="E183" s="133"/>
      <c r="F183" s="132"/>
      <c r="G183" s="134"/>
      <c r="H183" s="134"/>
      <c r="I183" s="134"/>
      <c r="J183" s="134"/>
      <c r="K183" s="10" t="str">
        <f t="shared" si="20"/>
        <v/>
      </c>
      <c r="L183" s="10" t="str">
        <f t="shared" si="21"/>
        <v/>
      </c>
      <c r="M183" s="132"/>
      <c r="N183" s="135"/>
      <c r="O183" s="11" t="str">
        <f t="shared" si="22"/>
        <v/>
      </c>
      <c r="P183" s="12">
        <f t="shared" si="23"/>
        <v>4000</v>
      </c>
      <c r="Q183" s="132"/>
      <c r="R183" s="132"/>
      <c r="S183" s="132"/>
      <c r="T183" s="132"/>
      <c r="U183" s="13" t="str">
        <f>IFERROR(IF(AND(B183&lt;&gt;"",C183&lt;&gt;""),_xludf.DAYS(C183,B183),""),"—")</f>
        <v/>
      </c>
      <c r="V183" s="136"/>
      <c r="W183" s="137"/>
    </row>
    <row r="184" spans="1:23" ht="18" customHeight="1" x14ac:dyDescent="0.2">
      <c r="A184" s="9">
        <f>183</f>
        <v>183</v>
      </c>
      <c r="B184" s="131"/>
      <c r="C184" s="131"/>
      <c r="D184" s="132"/>
      <c r="E184" s="133"/>
      <c r="F184" s="132"/>
      <c r="G184" s="134"/>
      <c r="H184" s="134"/>
      <c r="I184" s="134"/>
      <c r="J184" s="134"/>
      <c r="K184" s="10" t="str">
        <f t="shared" si="20"/>
        <v/>
      </c>
      <c r="L184" s="10" t="str">
        <f t="shared" si="21"/>
        <v/>
      </c>
      <c r="M184" s="132"/>
      <c r="N184" s="135"/>
      <c r="O184" s="11" t="str">
        <f t="shared" si="22"/>
        <v/>
      </c>
      <c r="P184" s="12">
        <f t="shared" si="23"/>
        <v>4000</v>
      </c>
      <c r="Q184" s="132"/>
      <c r="R184" s="132"/>
      <c r="S184" s="132"/>
      <c r="T184" s="132"/>
      <c r="U184" s="13" t="str">
        <f>IFERROR(IF(AND(B184&lt;&gt;"",C184&lt;&gt;""),_xludf.DAYS(C184,B184),""),"—")</f>
        <v/>
      </c>
      <c r="V184" s="136"/>
      <c r="W184" s="137"/>
    </row>
    <row r="185" spans="1:23" ht="18" customHeight="1" x14ac:dyDescent="0.2">
      <c r="A185" s="9">
        <f>184</f>
        <v>184</v>
      </c>
      <c r="B185" s="131"/>
      <c r="C185" s="131"/>
      <c r="D185" s="132"/>
      <c r="E185" s="133"/>
      <c r="F185" s="132"/>
      <c r="G185" s="134"/>
      <c r="H185" s="134"/>
      <c r="I185" s="134"/>
      <c r="J185" s="134"/>
      <c r="K185" s="10" t="str">
        <f t="shared" si="20"/>
        <v/>
      </c>
      <c r="L185" s="10" t="str">
        <f t="shared" si="21"/>
        <v/>
      </c>
      <c r="M185" s="132"/>
      <c r="N185" s="135"/>
      <c r="O185" s="11" t="str">
        <f t="shared" si="22"/>
        <v/>
      </c>
      <c r="P185" s="12">
        <f t="shared" si="23"/>
        <v>4000</v>
      </c>
      <c r="Q185" s="132"/>
      <c r="R185" s="132"/>
      <c r="S185" s="132"/>
      <c r="T185" s="132"/>
      <c r="U185" s="13" t="str">
        <f>IFERROR(IF(AND(B185&lt;&gt;"",C185&lt;&gt;""),_xludf.DAYS(C185,B185),""),"—")</f>
        <v/>
      </c>
      <c r="V185" s="136"/>
      <c r="W185" s="137"/>
    </row>
    <row r="186" spans="1:23" ht="18" customHeight="1" x14ac:dyDescent="0.2">
      <c r="A186" s="9">
        <f>185</f>
        <v>185</v>
      </c>
      <c r="B186" s="131"/>
      <c r="C186" s="131"/>
      <c r="D186" s="132"/>
      <c r="E186" s="133"/>
      <c r="F186" s="132"/>
      <c r="G186" s="134"/>
      <c r="H186" s="134"/>
      <c r="I186" s="134"/>
      <c r="J186" s="134"/>
      <c r="K186" s="10" t="str">
        <f t="shared" si="20"/>
        <v/>
      </c>
      <c r="L186" s="10" t="str">
        <f t="shared" si="21"/>
        <v/>
      </c>
      <c r="M186" s="132"/>
      <c r="N186" s="135"/>
      <c r="O186" s="11" t="str">
        <f t="shared" si="22"/>
        <v/>
      </c>
      <c r="P186" s="12">
        <f t="shared" si="23"/>
        <v>4000</v>
      </c>
      <c r="Q186" s="132"/>
      <c r="R186" s="132"/>
      <c r="S186" s="132"/>
      <c r="T186" s="132"/>
      <c r="U186" s="13" t="str">
        <f>IFERROR(IF(AND(B186&lt;&gt;"",C186&lt;&gt;""),_xludf.DAYS(C186,B186),""),"—")</f>
        <v/>
      </c>
      <c r="V186" s="136"/>
      <c r="W186" s="137"/>
    </row>
    <row r="187" spans="1:23" ht="18" customHeight="1" x14ac:dyDescent="0.2">
      <c r="A187" s="9">
        <f>186</f>
        <v>186</v>
      </c>
      <c r="B187" s="131"/>
      <c r="C187" s="131"/>
      <c r="D187" s="132"/>
      <c r="E187" s="133"/>
      <c r="F187" s="132"/>
      <c r="G187" s="134"/>
      <c r="H187" s="134"/>
      <c r="I187" s="134"/>
      <c r="J187" s="134"/>
      <c r="K187" s="10" t="str">
        <f t="shared" si="20"/>
        <v/>
      </c>
      <c r="L187" s="10" t="str">
        <f t="shared" si="21"/>
        <v/>
      </c>
      <c r="M187" s="132"/>
      <c r="N187" s="135"/>
      <c r="O187" s="11" t="str">
        <f t="shared" si="22"/>
        <v/>
      </c>
      <c r="P187" s="12">
        <f t="shared" si="23"/>
        <v>4000</v>
      </c>
      <c r="Q187" s="132"/>
      <c r="R187" s="132"/>
      <c r="S187" s="132"/>
      <c r="T187" s="132"/>
      <c r="U187" s="13" t="str">
        <f>IFERROR(IF(AND(B187&lt;&gt;"",C187&lt;&gt;""),_xludf.DAYS(C187,B187),""),"—")</f>
        <v/>
      </c>
      <c r="V187" s="136"/>
      <c r="W187" s="137"/>
    </row>
    <row r="188" spans="1:23" ht="18" customHeight="1" x14ac:dyDescent="0.2">
      <c r="A188" s="9">
        <f>187</f>
        <v>187</v>
      </c>
      <c r="B188" s="131"/>
      <c r="C188" s="131"/>
      <c r="D188" s="132"/>
      <c r="E188" s="133"/>
      <c r="F188" s="132"/>
      <c r="G188" s="134"/>
      <c r="H188" s="134"/>
      <c r="I188" s="134"/>
      <c r="J188" s="134"/>
      <c r="K188" s="10" t="str">
        <f t="shared" si="20"/>
        <v/>
      </c>
      <c r="L188" s="10" t="str">
        <f t="shared" si="21"/>
        <v/>
      </c>
      <c r="M188" s="132"/>
      <c r="N188" s="135"/>
      <c r="O188" s="11" t="str">
        <f t="shared" si="22"/>
        <v/>
      </c>
      <c r="P188" s="12">
        <f t="shared" si="23"/>
        <v>4000</v>
      </c>
      <c r="Q188" s="132"/>
      <c r="R188" s="132"/>
      <c r="S188" s="132"/>
      <c r="T188" s="132"/>
      <c r="U188" s="13" t="str">
        <f>IFERROR(IF(AND(B188&lt;&gt;"",C188&lt;&gt;""),_xludf.DAYS(C188,B188),""),"—")</f>
        <v/>
      </c>
      <c r="V188" s="136"/>
      <c r="W188" s="137"/>
    </row>
    <row r="189" spans="1:23" ht="18" customHeight="1" x14ac:dyDescent="0.2">
      <c r="A189" s="9">
        <f>188</f>
        <v>188</v>
      </c>
      <c r="B189" s="131"/>
      <c r="C189" s="131"/>
      <c r="D189" s="132"/>
      <c r="E189" s="133"/>
      <c r="F189" s="132"/>
      <c r="G189" s="134"/>
      <c r="H189" s="134"/>
      <c r="I189" s="134"/>
      <c r="J189" s="134"/>
      <c r="K189" s="10" t="str">
        <f t="shared" si="20"/>
        <v/>
      </c>
      <c r="L189" s="10" t="str">
        <f t="shared" si="21"/>
        <v/>
      </c>
      <c r="M189" s="132"/>
      <c r="N189" s="135"/>
      <c r="O189" s="11" t="str">
        <f t="shared" si="22"/>
        <v/>
      </c>
      <c r="P189" s="12">
        <f t="shared" si="23"/>
        <v>4000</v>
      </c>
      <c r="Q189" s="132"/>
      <c r="R189" s="132"/>
      <c r="S189" s="132"/>
      <c r="T189" s="132"/>
      <c r="U189" s="13" t="str">
        <f>IFERROR(IF(AND(B189&lt;&gt;"",C189&lt;&gt;""),_xludf.DAYS(C189,B189),""),"—")</f>
        <v/>
      </c>
      <c r="V189" s="136"/>
      <c r="W189" s="137"/>
    </row>
    <row r="190" spans="1:23" ht="18" customHeight="1" x14ac:dyDescent="0.2">
      <c r="A190" s="9">
        <f>189</f>
        <v>189</v>
      </c>
      <c r="B190" s="131"/>
      <c r="C190" s="131"/>
      <c r="D190" s="132"/>
      <c r="E190" s="133"/>
      <c r="F190" s="132"/>
      <c r="G190" s="134"/>
      <c r="H190" s="134"/>
      <c r="I190" s="134"/>
      <c r="J190" s="134"/>
      <c r="K190" s="10" t="str">
        <f t="shared" si="20"/>
        <v/>
      </c>
      <c r="L190" s="10" t="str">
        <f t="shared" si="21"/>
        <v/>
      </c>
      <c r="M190" s="132"/>
      <c r="N190" s="135"/>
      <c r="O190" s="11" t="str">
        <f t="shared" si="22"/>
        <v/>
      </c>
      <c r="P190" s="12">
        <f t="shared" si="23"/>
        <v>4000</v>
      </c>
      <c r="Q190" s="132"/>
      <c r="R190" s="132"/>
      <c r="S190" s="132"/>
      <c r="T190" s="132"/>
      <c r="U190" s="13" t="str">
        <f>IFERROR(IF(AND(B190&lt;&gt;"",C190&lt;&gt;""),_xludf.DAYS(C190,B190),""),"—")</f>
        <v/>
      </c>
      <c r="V190" s="136"/>
      <c r="W190" s="137"/>
    </row>
    <row r="191" spans="1:23" ht="18" customHeight="1" x14ac:dyDescent="0.2">
      <c r="A191" s="9">
        <f>190</f>
        <v>190</v>
      </c>
      <c r="B191" s="131"/>
      <c r="C191" s="131"/>
      <c r="D191" s="132"/>
      <c r="E191" s="133"/>
      <c r="F191" s="132"/>
      <c r="G191" s="134"/>
      <c r="H191" s="134"/>
      <c r="I191" s="134"/>
      <c r="J191" s="134"/>
      <c r="K191" s="10" t="str">
        <f t="shared" si="20"/>
        <v/>
      </c>
      <c r="L191" s="10" t="str">
        <f t="shared" si="21"/>
        <v/>
      </c>
      <c r="M191" s="132"/>
      <c r="N191" s="135"/>
      <c r="O191" s="11" t="str">
        <f t="shared" si="22"/>
        <v/>
      </c>
      <c r="P191" s="12">
        <f t="shared" si="23"/>
        <v>4000</v>
      </c>
      <c r="Q191" s="132"/>
      <c r="R191" s="132"/>
      <c r="S191" s="132"/>
      <c r="T191" s="132"/>
      <c r="U191" s="13" t="str">
        <f>IFERROR(IF(AND(B191&lt;&gt;"",C191&lt;&gt;""),_xludf.DAYS(C191,B191),""),"—")</f>
        <v/>
      </c>
      <c r="V191" s="136"/>
      <c r="W191" s="137"/>
    </row>
    <row r="192" spans="1:23" ht="18" customHeight="1" x14ac:dyDescent="0.2">
      <c r="A192" s="9">
        <f>191</f>
        <v>191</v>
      </c>
      <c r="B192" s="131"/>
      <c r="C192" s="131"/>
      <c r="D192" s="132"/>
      <c r="E192" s="133"/>
      <c r="F192" s="132"/>
      <c r="G192" s="134"/>
      <c r="H192" s="134"/>
      <c r="I192" s="134"/>
      <c r="J192" s="134"/>
      <c r="K192" s="10" t="str">
        <f t="shared" si="20"/>
        <v/>
      </c>
      <c r="L192" s="10" t="str">
        <f t="shared" si="21"/>
        <v/>
      </c>
      <c r="M192" s="132"/>
      <c r="N192" s="135"/>
      <c r="O192" s="11" t="str">
        <f t="shared" si="22"/>
        <v/>
      </c>
      <c r="P192" s="12">
        <f t="shared" si="23"/>
        <v>4000</v>
      </c>
      <c r="Q192" s="132"/>
      <c r="R192" s="132"/>
      <c r="S192" s="132"/>
      <c r="T192" s="132"/>
      <c r="U192" s="13" t="str">
        <f>IFERROR(IF(AND(B192&lt;&gt;"",C192&lt;&gt;""),_xludf.DAYS(C192,B192),""),"—")</f>
        <v/>
      </c>
      <c r="V192" s="136"/>
      <c r="W192" s="137"/>
    </row>
    <row r="193" spans="1:23" ht="18" customHeight="1" x14ac:dyDescent="0.2">
      <c r="A193" s="9">
        <f>192</f>
        <v>192</v>
      </c>
      <c r="B193" s="131"/>
      <c r="C193" s="131"/>
      <c r="D193" s="132"/>
      <c r="E193" s="133"/>
      <c r="F193" s="132"/>
      <c r="G193" s="134"/>
      <c r="H193" s="134"/>
      <c r="I193" s="134"/>
      <c r="J193" s="134"/>
      <c r="K193" s="10" t="str">
        <f t="shared" si="20"/>
        <v/>
      </c>
      <c r="L193" s="10" t="str">
        <f t="shared" si="21"/>
        <v/>
      </c>
      <c r="M193" s="132"/>
      <c r="N193" s="135"/>
      <c r="O193" s="11" t="str">
        <f t="shared" si="22"/>
        <v/>
      </c>
      <c r="P193" s="12">
        <f t="shared" si="23"/>
        <v>4000</v>
      </c>
      <c r="Q193" s="132"/>
      <c r="R193" s="132"/>
      <c r="S193" s="132"/>
      <c r="T193" s="132"/>
      <c r="U193" s="13" t="str">
        <f>IFERROR(IF(AND(B193&lt;&gt;"",C193&lt;&gt;""),_xludf.DAYS(C193,B193),""),"—")</f>
        <v/>
      </c>
      <c r="V193" s="136"/>
      <c r="W193" s="137"/>
    </row>
    <row r="194" spans="1:23" ht="18" customHeight="1" x14ac:dyDescent="0.2">
      <c r="A194" s="9">
        <f>193</f>
        <v>193</v>
      </c>
      <c r="B194" s="131"/>
      <c r="C194" s="131"/>
      <c r="D194" s="132"/>
      <c r="E194" s="133"/>
      <c r="F194" s="132"/>
      <c r="G194" s="134"/>
      <c r="H194" s="134"/>
      <c r="I194" s="134"/>
      <c r="J194" s="134"/>
      <c r="K194" s="10" t="str">
        <f t="shared" ref="K194:K201" si="24">IFERROR(IF(F194="Mua",(I194-G194)/(G194-H194),(G194-I194)/(H194-G194)),"")</f>
        <v/>
      </c>
      <c r="L194" s="10" t="str">
        <f t="shared" ref="L194:L201" si="25">IFERROR(IF(F194="Mua",(J194-G194)/(G194-H194),(G194-J194)/(H194-G194)),"")</f>
        <v/>
      </c>
      <c r="M194" s="132"/>
      <c r="N194" s="135"/>
      <c r="O194" s="11" t="str">
        <f t="shared" si="22"/>
        <v/>
      </c>
      <c r="P194" s="12">
        <f t="shared" si="23"/>
        <v>4000</v>
      </c>
      <c r="Q194" s="132"/>
      <c r="R194" s="132"/>
      <c r="S194" s="132"/>
      <c r="T194" s="132"/>
      <c r="U194" s="13" t="str">
        <f>IFERROR(IF(AND(B194&lt;&gt;"",C194&lt;&gt;""),_xludf.DAYS(C194,B194),""),"—")</f>
        <v/>
      </c>
      <c r="V194" s="136"/>
      <c r="W194" s="137"/>
    </row>
    <row r="195" spans="1:23" ht="18" customHeight="1" x14ac:dyDescent="0.2">
      <c r="A195" s="9">
        <f>194</f>
        <v>194</v>
      </c>
      <c r="B195" s="131"/>
      <c r="C195" s="131"/>
      <c r="D195" s="132"/>
      <c r="E195" s="133"/>
      <c r="F195" s="132"/>
      <c r="G195" s="134"/>
      <c r="H195" s="134"/>
      <c r="I195" s="134"/>
      <c r="J195" s="134"/>
      <c r="K195" s="10" t="str">
        <f t="shared" si="24"/>
        <v/>
      </c>
      <c r="L195" s="10" t="str">
        <f t="shared" si="25"/>
        <v/>
      </c>
      <c r="M195" s="132"/>
      <c r="N195" s="135"/>
      <c r="O195" s="11" t="str">
        <f t="shared" ref="O195:O201" si="26">IFERROR(IF(N195&lt;&gt;"",N195/P194,""),"")</f>
        <v/>
      </c>
      <c r="P195" s="12">
        <f t="shared" ref="P195:P201" si="27">IF(N195&lt;&gt;"",P194+N195,P194)</f>
        <v>4000</v>
      </c>
      <c r="Q195" s="132"/>
      <c r="R195" s="132"/>
      <c r="S195" s="132"/>
      <c r="T195" s="132"/>
      <c r="U195" s="13" t="str">
        <f>IFERROR(IF(AND(B195&lt;&gt;"",C195&lt;&gt;""),_xludf.DAYS(C195,B195),""),"—")</f>
        <v/>
      </c>
      <c r="V195" s="136"/>
      <c r="W195" s="137"/>
    </row>
    <row r="196" spans="1:23" ht="18" customHeight="1" x14ac:dyDescent="0.2">
      <c r="A196" s="9">
        <f>195</f>
        <v>195</v>
      </c>
      <c r="B196" s="131"/>
      <c r="C196" s="131"/>
      <c r="D196" s="132"/>
      <c r="E196" s="133"/>
      <c r="F196" s="132"/>
      <c r="G196" s="134"/>
      <c r="H196" s="134"/>
      <c r="I196" s="134"/>
      <c r="J196" s="134"/>
      <c r="K196" s="10" t="str">
        <f t="shared" si="24"/>
        <v/>
      </c>
      <c r="L196" s="10" t="str">
        <f t="shared" si="25"/>
        <v/>
      </c>
      <c r="M196" s="132"/>
      <c r="N196" s="135"/>
      <c r="O196" s="11" t="str">
        <f t="shared" si="26"/>
        <v/>
      </c>
      <c r="P196" s="12">
        <f t="shared" si="27"/>
        <v>4000</v>
      </c>
      <c r="Q196" s="132"/>
      <c r="R196" s="132"/>
      <c r="S196" s="132"/>
      <c r="T196" s="132"/>
      <c r="U196" s="13" t="str">
        <f>IFERROR(IF(AND(B196&lt;&gt;"",C196&lt;&gt;""),_xludf.DAYS(C196,B196),""),"—")</f>
        <v/>
      </c>
      <c r="V196" s="136"/>
      <c r="W196" s="137"/>
    </row>
    <row r="197" spans="1:23" ht="18" customHeight="1" x14ac:dyDescent="0.2">
      <c r="A197" s="9">
        <f>196</f>
        <v>196</v>
      </c>
      <c r="B197" s="131"/>
      <c r="C197" s="131"/>
      <c r="D197" s="132"/>
      <c r="E197" s="133"/>
      <c r="F197" s="132"/>
      <c r="G197" s="134"/>
      <c r="H197" s="134"/>
      <c r="I197" s="134"/>
      <c r="J197" s="134"/>
      <c r="K197" s="10" t="str">
        <f t="shared" si="24"/>
        <v/>
      </c>
      <c r="L197" s="10" t="str">
        <f t="shared" si="25"/>
        <v/>
      </c>
      <c r="M197" s="132"/>
      <c r="N197" s="135"/>
      <c r="O197" s="11" t="str">
        <f t="shared" si="26"/>
        <v/>
      </c>
      <c r="P197" s="12">
        <f t="shared" si="27"/>
        <v>4000</v>
      </c>
      <c r="Q197" s="132"/>
      <c r="R197" s="132"/>
      <c r="S197" s="132"/>
      <c r="T197" s="132"/>
      <c r="U197" s="13" t="str">
        <f>IFERROR(IF(AND(B197&lt;&gt;"",C197&lt;&gt;""),_xludf.DAYS(C197,B197),""),"—")</f>
        <v/>
      </c>
      <c r="V197" s="136"/>
      <c r="W197" s="137"/>
    </row>
    <row r="198" spans="1:23" ht="18" customHeight="1" x14ac:dyDescent="0.2">
      <c r="A198" s="9">
        <f>197</f>
        <v>197</v>
      </c>
      <c r="B198" s="131"/>
      <c r="C198" s="131"/>
      <c r="D198" s="132"/>
      <c r="E198" s="133"/>
      <c r="F198" s="132"/>
      <c r="G198" s="134"/>
      <c r="H198" s="134"/>
      <c r="I198" s="134"/>
      <c r="J198" s="134"/>
      <c r="K198" s="10" t="str">
        <f t="shared" si="24"/>
        <v/>
      </c>
      <c r="L198" s="10" t="str">
        <f t="shared" si="25"/>
        <v/>
      </c>
      <c r="M198" s="132"/>
      <c r="N198" s="135"/>
      <c r="O198" s="11" t="str">
        <f t="shared" si="26"/>
        <v/>
      </c>
      <c r="P198" s="12">
        <f t="shared" si="27"/>
        <v>4000</v>
      </c>
      <c r="Q198" s="132"/>
      <c r="R198" s="132"/>
      <c r="S198" s="132"/>
      <c r="T198" s="132"/>
      <c r="U198" s="13" t="str">
        <f>IFERROR(IF(AND(B198&lt;&gt;"",C198&lt;&gt;""),_xludf.DAYS(C198,B198),""),"—")</f>
        <v/>
      </c>
      <c r="V198" s="136"/>
      <c r="W198" s="137"/>
    </row>
    <row r="199" spans="1:23" ht="18" customHeight="1" x14ac:dyDescent="0.2">
      <c r="A199" s="9">
        <f>198</f>
        <v>198</v>
      </c>
      <c r="B199" s="131"/>
      <c r="C199" s="131"/>
      <c r="D199" s="132"/>
      <c r="E199" s="133"/>
      <c r="F199" s="132"/>
      <c r="G199" s="134"/>
      <c r="H199" s="134"/>
      <c r="I199" s="134"/>
      <c r="J199" s="134"/>
      <c r="K199" s="10" t="str">
        <f t="shared" si="24"/>
        <v/>
      </c>
      <c r="L199" s="10" t="str">
        <f t="shared" si="25"/>
        <v/>
      </c>
      <c r="M199" s="132"/>
      <c r="N199" s="135"/>
      <c r="O199" s="11" t="str">
        <f t="shared" si="26"/>
        <v/>
      </c>
      <c r="P199" s="12">
        <f t="shared" si="27"/>
        <v>4000</v>
      </c>
      <c r="Q199" s="132"/>
      <c r="R199" s="132"/>
      <c r="S199" s="132"/>
      <c r="T199" s="132"/>
      <c r="U199" s="13" t="str">
        <f>IFERROR(IF(AND(B199&lt;&gt;"",C199&lt;&gt;""),_xludf.DAYS(C199,B199),""),"—")</f>
        <v/>
      </c>
      <c r="V199" s="136"/>
      <c r="W199" s="137"/>
    </row>
    <row r="200" spans="1:23" ht="18" customHeight="1" x14ac:dyDescent="0.2">
      <c r="A200" s="9">
        <f>199</f>
        <v>199</v>
      </c>
      <c r="B200" s="131"/>
      <c r="C200" s="131"/>
      <c r="D200" s="132"/>
      <c r="E200" s="133"/>
      <c r="F200" s="132"/>
      <c r="G200" s="134"/>
      <c r="H200" s="134"/>
      <c r="I200" s="134"/>
      <c r="J200" s="134"/>
      <c r="K200" s="10" t="str">
        <f t="shared" si="24"/>
        <v/>
      </c>
      <c r="L200" s="10" t="str">
        <f t="shared" si="25"/>
        <v/>
      </c>
      <c r="M200" s="132"/>
      <c r="N200" s="135"/>
      <c r="O200" s="11" t="str">
        <f t="shared" si="26"/>
        <v/>
      </c>
      <c r="P200" s="12">
        <f t="shared" si="27"/>
        <v>4000</v>
      </c>
      <c r="Q200" s="132"/>
      <c r="R200" s="132"/>
      <c r="S200" s="132"/>
      <c r="T200" s="132"/>
      <c r="U200" s="13" t="str">
        <f>IFERROR(IF(AND(B200&lt;&gt;"",C200&lt;&gt;""),_xludf.DAYS(C200,B200),""),"—")</f>
        <v/>
      </c>
      <c r="V200" s="136"/>
      <c r="W200" s="137"/>
    </row>
    <row r="201" spans="1:23" ht="23" customHeight="1" x14ac:dyDescent="0.2">
      <c r="A201" s="9">
        <f>200</f>
        <v>200</v>
      </c>
      <c r="B201" s="131"/>
      <c r="C201" s="131"/>
      <c r="D201" s="132"/>
      <c r="E201" s="133"/>
      <c r="F201" s="132"/>
      <c r="G201" s="134"/>
      <c r="H201" s="134"/>
      <c r="I201" s="134"/>
      <c r="J201" s="134"/>
      <c r="K201" s="10" t="str">
        <f t="shared" si="24"/>
        <v/>
      </c>
      <c r="L201" s="10" t="str">
        <f t="shared" si="25"/>
        <v/>
      </c>
      <c r="M201" s="132"/>
      <c r="N201" s="135"/>
      <c r="O201" s="11" t="str">
        <f t="shared" si="26"/>
        <v/>
      </c>
      <c r="P201" s="12">
        <f t="shared" si="27"/>
        <v>4000</v>
      </c>
      <c r="Q201" s="132"/>
      <c r="R201" s="132"/>
      <c r="S201" s="132"/>
      <c r="T201" s="132"/>
      <c r="U201" s="13" t="str">
        <f>IFERROR(IF(AND(B201&lt;&gt;"",C201&lt;&gt;""),_xludf.DAYS(C201,B201),""),"—")</f>
        <v/>
      </c>
      <c r="V201" s="136"/>
      <c r="W201" s="137"/>
    </row>
    <row r="202" spans="1:23" ht="48" customHeight="1" x14ac:dyDescent="0.2">
      <c r="A202" s="15" t="s">
        <v>31</v>
      </c>
      <c r="B202" s="173" t="s">
        <v>32</v>
      </c>
      <c r="C202" s="174"/>
      <c r="D202" s="174"/>
      <c r="E202" s="174"/>
      <c r="F202" s="174"/>
      <c r="G202" s="174"/>
      <c r="H202" s="174"/>
      <c r="I202" s="174"/>
      <c r="J202" s="174"/>
      <c r="K202" s="174"/>
      <c r="L202" s="174"/>
      <c r="M202" s="175"/>
      <c r="N202" s="16">
        <f>SUMIF(M2:M201,"&lt;&gt;",N2:N201)</f>
        <v>2000</v>
      </c>
      <c r="O202" s="17">
        <f>IFERROR(N202/'🏦 Lịch Sử Vốn'!D43,"")</f>
        <v>1</v>
      </c>
      <c r="P202" s="172"/>
      <c r="Q202" s="18"/>
      <c r="R202" s="18"/>
      <c r="S202" s="18"/>
      <c r="T202" s="18"/>
      <c r="U202" s="18"/>
      <c r="V202" s="18"/>
      <c r="W202" s="18"/>
    </row>
  </sheetData>
  <sheetProtection algorithmName="SHA-512" hashValue="/lbrRawwCrNS/0XGALULuUAWfavgsJ3I0yMBxrS6jMkh5Po36XU0Ixe2lLcEtMTbN0lbm1jQ4rIWMFCBas4odg==" saltValue="KIDMTo/D59WlthTD2BdwYg==" spinCount="100000" sheet="1" objects="1" scenarios="1"/>
  <mergeCells count="1">
    <mergeCell ref="B202:M202"/>
  </mergeCells>
  <phoneticPr fontId="45" type="noConversion"/>
  <conditionalFormatting sqref="L2:L201">
    <cfRule type="colorScale" priority="6">
      <colorScale>
        <cfvo type="num" val="-3"/>
        <cfvo type="num" val="1"/>
        <cfvo type="num" val="5"/>
        <color rgb="FFFFC7CE"/>
        <color rgb="FFFFEB9C"/>
        <color rgb="FFC6EFCE"/>
      </colorScale>
    </cfRule>
  </conditionalFormatting>
  <conditionalFormatting sqref="M2:M201">
    <cfRule type="cellIs" dxfId="4" priority="1" operator="equal">
      <formula>"Thắng"</formula>
    </cfRule>
    <cfRule type="cellIs" dxfId="3" priority="2" operator="equal">
      <formula>"Thua"</formula>
    </cfRule>
  </conditionalFormatting>
  <conditionalFormatting sqref="N2:N201">
    <cfRule type="expression" dxfId="2" priority="4">
      <formula>N2&lt;0</formula>
    </cfRule>
    <cfRule type="expression" dxfId="1" priority="3">
      <formula>N2&gt;0</formula>
    </cfRule>
  </conditionalFormatting>
  <conditionalFormatting sqref="P2:P201">
    <cfRule type="colorScale" priority="5">
      <colorScale>
        <cfvo type="min"/>
        <cfvo type="percentile" val="50"/>
        <cfvo type="max"/>
        <color rgb="FFFFC7CE"/>
        <color rgb="FFFFEB9C"/>
        <color rgb="FFC6EFCE"/>
      </colorScale>
    </cfRule>
  </conditionalFormatting>
  <conditionalFormatting sqref="S2:S201">
    <cfRule type="cellIs" dxfId="0" priority="7" operator="equal">
      <formula>"A+"</formula>
    </cfRule>
  </conditionalFormatting>
  <dataValidations count="5">
    <dataValidation type="list" allowBlank="1" sqref="F2:F201" xr:uid="{00000000-0002-0000-0000-000000000000}">
      <formula1>"Mua,Bán"</formula1>
    </dataValidation>
    <dataValidation type="list" allowBlank="1" sqref="M2:M201" xr:uid="{00000000-0002-0000-0000-000001000000}">
      <formula1>"Thắng,Thua"</formula1>
    </dataValidation>
    <dataValidation type="list" allowBlank="1" sqref="R2:R201" xr:uid="{00000000-0002-0000-0000-000002000000}">
      <formula1>"London,New York,Overlap,Tokyo,Sydney"</formula1>
    </dataValidation>
    <dataValidation type="list" allowBlank="1" sqref="S2:S201" xr:uid="{00000000-0002-0000-0000-000003000000}">
      <formula1>"A+,A,B,C"</formula1>
    </dataValidation>
    <dataValidation type="list" allowBlank="1" sqref="T2:T201" xr:uid="{00000000-0002-0000-0000-000004000000}">
      <formula1>"Tự tin,Bình thường,Lo lắng,Tham lam,Sợ hãi"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1F4E79"/>
  </sheetPr>
  <dimension ref="B1:X59"/>
  <sheetViews>
    <sheetView showGridLines="0" workbookViewId="0">
      <pane xSplit="1" ySplit="2" topLeftCell="B3" activePane="bottomRight" state="frozen"/>
      <selection pane="topRight"/>
      <selection pane="bottomLeft"/>
      <selection pane="bottomRight" activeCell="I8" sqref="I8"/>
    </sheetView>
  </sheetViews>
  <sheetFormatPr baseColWidth="10" defaultColWidth="8.83203125" defaultRowHeight="15" x14ac:dyDescent="0.2"/>
  <cols>
    <col min="1" max="1" width="1.5" customWidth="1"/>
    <col min="2" max="7" width="16" customWidth="1"/>
    <col min="8" max="8" width="25" customWidth="1"/>
    <col min="9" max="9" width="8.6640625" customWidth="1"/>
    <col min="10" max="10" width="16" customWidth="1"/>
    <col min="11" max="11" width="14" customWidth="1"/>
    <col min="12" max="12" width="16" customWidth="1"/>
    <col min="13" max="13" width="13.6640625" customWidth="1"/>
    <col min="14" max="14" width="16" customWidth="1"/>
    <col min="15" max="15" width="12.33203125" customWidth="1"/>
    <col min="16" max="17" width="16" customWidth="1"/>
    <col min="18" max="18" width="18.83203125" customWidth="1"/>
    <col min="19" max="19" width="14.6640625" customWidth="1"/>
    <col min="20" max="20" width="23" customWidth="1"/>
    <col min="21" max="21" width="12.1640625" customWidth="1"/>
    <col min="22" max="22" width="10.1640625" customWidth="1"/>
    <col min="23" max="28" width="16" customWidth="1"/>
    <col min="29" max="29" width="1.5" customWidth="1"/>
  </cols>
  <sheetData>
    <row r="1" spans="2:24" ht="8" customHeight="1" x14ac:dyDescent="0.2"/>
    <row r="2" spans="2:24" ht="40" customHeight="1" x14ac:dyDescent="0.2">
      <c r="B2" s="176" t="s">
        <v>33</v>
      </c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77"/>
      <c r="S2" s="177"/>
      <c r="T2" s="177"/>
      <c r="U2" s="177"/>
      <c r="V2" s="177"/>
      <c r="W2" s="177"/>
      <c r="X2" s="177"/>
    </row>
    <row r="3" spans="2:24" ht="8" customHeight="1" x14ac:dyDescent="0.2"/>
    <row r="4" spans="2:24" ht="28" customHeight="1" x14ac:dyDescent="0.2">
      <c r="B4" s="202" t="s">
        <v>34</v>
      </c>
      <c r="C4" s="174"/>
      <c r="D4" s="174"/>
      <c r="E4" s="174"/>
      <c r="F4" s="174"/>
      <c r="G4" s="174"/>
      <c r="H4" s="175"/>
      <c r="J4" s="205" t="s">
        <v>35</v>
      </c>
      <c r="K4" s="174"/>
      <c r="L4" s="174"/>
      <c r="M4" s="174"/>
      <c r="N4" s="174"/>
      <c r="O4" s="174"/>
      <c r="P4" s="175"/>
      <c r="R4" s="187" t="s">
        <v>36</v>
      </c>
      <c r="S4" s="174"/>
      <c r="T4" s="174"/>
      <c r="U4" s="174"/>
      <c r="V4" s="174"/>
      <c r="W4" s="174"/>
      <c r="X4" s="175"/>
    </row>
    <row r="5" spans="2:24" ht="20" customHeight="1" x14ac:dyDescent="0.2">
      <c r="B5" s="19" t="s">
        <v>37</v>
      </c>
      <c r="C5" s="186">
        <f>'🏦 Lịch Sử Vốn'!D43</f>
        <v>2000</v>
      </c>
      <c r="D5" s="174"/>
      <c r="E5" s="174"/>
      <c r="F5" s="174"/>
      <c r="G5" s="174"/>
      <c r="H5" s="175"/>
      <c r="J5" s="20" t="s">
        <v>38</v>
      </c>
      <c r="K5" s="183">
        <f>COUNTIF('📝 Nhật Ký'!M2:M201,"&lt;&gt;")</f>
        <v>4</v>
      </c>
      <c r="L5" s="174"/>
      <c r="M5" s="174"/>
      <c r="N5" s="174"/>
      <c r="O5" s="174"/>
      <c r="P5" s="175"/>
      <c r="R5" s="21" t="s">
        <v>39</v>
      </c>
      <c r="S5" s="184">
        <f>IFERROR(MIN('📝 Nhật Ký'!N2:N201),0)</f>
        <v>-500</v>
      </c>
      <c r="T5" s="174"/>
      <c r="U5" s="174"/>
      <c r="V5" s="174"/>
      <c r="W5" s="174"/>
      <c r="X5" s="175"/>
    </row>
    <row r="6" spans="2:24" ht="20" customHeight="1" x14ac:dyDescent="0.2">
      <c r="B6" s="19" t="s">
        <v>40</v>
      </c>
      <c r="C6" s="186">
        <f>IFERROR('📝 Nhật Ký'!P201,'🏦 Lịch Sử Vốn'!D43)</f>
        <v>4000</v>
      </c>
      <c r="D6" s="174"/>
      <c r="E6" s="174"/>
      <c r="F6" s="174"/>
      <c r="G6" s="174"/>
      <c r="H6" s="175"/>
      <c r="J6" s="20" t="s">
        <v>41</v>
      </c>
      <c r="K6" s="183">
        <f>COUNTIF('📝 Nhật Ký'!M2:M201,"Thắng")</f>
        <v>2</v>
      </c>
      <c r="L6" s="174"/>
      <c r="M6" s="174"/>
      <c r="N6" s="174"/>
      <c r="O6" s="174"/>
      <c r="P6" s="175"/>
      <c r="R6" s="21" t="s">
        <v>42</v>
      </c>
      <c r="S6" s="201">
        <f>IFERROR(MIN('📝 Nhật Ký'!N2:N201)/'🏦 Lịch Sử Vốn'!D43,0)</f>
        <v>-0.25</v>
      </c>
      <c r="T6" s="174"/>
      <c r="U6" s="174"/>
      <c r="V6" s="174"/>
      <c r="W6" s="174"/>
      <c r="X6" s="175"/>
    </row>
    <row r="7" spans="2:24" ht="20" customHeight="1" x14ac:dyDescent="0.2">
      <c r="B7" s="19" t="s">
        <v>43</v>
      </c>
      <c r="C7" s="178">
        <f>'📝 Nhật Ký'!N202</f>
        <v>2000</v>
      </c>
      <c r="D7" s="174"/>
      <c r="E7" s="174"/>
      <c r="F7" s="174"/>
      <c r="G7" s="174"/>
      <c r="H7" s="175"/>
      <c r="J7" s="20" t="s">
        <v>44</v>
      </c>
      <c r="K7" s="183">
        <f>COUNTIF('📝 Nhật Ký'!M2:M201,"Thua")</f>
        <v>2</v>
      </c>
      <c r="L7" s="174"/>
      <c r="M7" s="174"/>
      <c r="N7" s="174"/>
      <c r="O7" s="174"/>
      <c r="P7" s="175"/>
      <c r="R7" s="21" t="s">
        <v>45</v>
      </c>
      <c r="S7" s="191">
        <f>IFERROR('📝 Nhật Ký'!N202/ABS(MIN('📝 Nhật Ký'!N2:N201)),0)</f>
        <v>4</v>
      </c>
      <c r="T7" s="174"/>
      <c r="U7" s="174"/>
      <c r="V7" s="174"/>
      <c r="W7" s="174"/>
      <c r="X7" s="175"/>
    </row>
    <row r="8" spans="2:24" ht="20" customHeight="1" x14ac:dyDescent="0.2">
      <c r="B8" s="19" t="s">
        <v>46</v>
      </c>
      <c r="C8" s="193">
        <f>IFERROR('📝 Nhật Ký'!N202/'🏦 Lịch Sử Vốn'!D43,0)</f>
        <v>1</v>
      </c>
      <c r="D8" s="174"/>
      <c r="E8" s="174"/>
      <c r="F8" s="174"/>
      <c r="G8" s="174"/>
      <c r="H8" s="175"/>
      <c r="J8" s="20" t="s">
        <v>47</v>
      </c>
      <c r="K8" s="203">
        <f>IFERROR(COUNTIF('📝 Nhật Ký'!M2:M201,"Thắng")/COUNTIF('📝 Nhật Ký'!M2:M201,"&lt;&gt;"),0)</f>
        <v>0.5</v>
      </c>
      <c r="L8" s="174"/>
      <c r="M8" s="174"/>
      <c r="N8" s="174"/>
      <c r="O8" s="174"/>
      <c r="P8" s="175"/>
      <c r="R8" s="21" t="s">
        <v>48</v>
      </c>
      <c r="S8" s="203">
        <f>IFERROR(COUNTIFS('📝 Nhật Ký'!F2:F201,"Mua",'📝 Nhật Ký'!M2:M201,"Thắng")/COUNTIF('📝 Nhật Ký'!F2:F201,"Mua"),0)</f>
        <v>0.5</v>
      </c>
      <c r="T8" s="174"/>
      <c r="U8" s="174"/>
      <c r="V8" s="174"/>
      <c r="W8" s="174"/>
      <c r="X8" s="175"/>
    </row>
    <row r="9" spans="2:24" ht="20" customHeight="1" x14ac:dyDescent="0.2">
      <c r="B9" s="19" t="s">
        <v>49</v>
      </c>
      <c r="C9" s="186">
        <f>IFERROR(MAX('📝 Nhật Ký'!N2:N201),0)</f>
        <v>2000</v>
      </c>
      <c r="D9" s="174"/>
      <c r="E9" s="174"/>
      <c r="F9" s="174"/>
      <c r="G9" s="174"/>
      <c r="H9" s="175"/>
      <c r="J9" s="20" t="s">
        <v>50</v>
      </c>
      <c r="K9" s="191">
        <f>IFERROR(SUMIF('📝 Nhật Ký'!M2:M201,"Thắng",'📝 Nhật Ký'!N2:N201)/ABS(SUMIF('📝 Nhật Ký'!M2:M201,"Thua",'📝 Nhật Ký'!N2:N201)),0)</f>
        <v>3</v>
      </c>
      <c r="L9" s="174"/>
      <c r="M9" s="174"/>
      <c r="N9" s="174"/>
      <c r="O9" s="174"/>
      <c r="P9" s="175"/>
      <c r="R9" s="21" t="s">
        <v>51</v>
      </c>
      <c r="S9" s="203">
        <f>IFERROR(COUNTIFS('📝 Nhật Ký'!F2:F201,"Bán",'📝 Nhật Ký'!M2:M201,"Thắng")/COUNTIF('📝 Nhật Ký'!F2:F201,"Bán"),0)</f>
        <v>0.5</v>
      </c>
      <c r="T9" s="174"/>
      <c r="U9" s="174"/>
      <c r="V9" s="174"/>
      <c r="W9" s="174"/>
      <c r="X9" s="175"/>
    </row>
    <row r="10" spans="2:24" ht="20" customHeight="1" x14ac:dyDescent="0.2">
      <c r="B10" s="19" t="s">
        <v>52</v>
      </c>
      <c r="C10" s="184">
        <f>IFERROR(MIN('📝 Nhật Ký'!N2:N201),0)</f>
        <v>-500</v>
      </c>
      <c r="D10" s="174"/>
      <c r="E10" s="174"/>
      <c r="F10" s="174"/>
      <c r="G10" s="174"/>
      <c r="H10" s="175"/>
      <c r="J10" s="20" t="s">
        <v>53</v>
      </c>
      <c r="K10" s="186">
        <f>IFERROR('📝 Nhật Ký'!N202/COUNTIF('📝 Nhật Ký'!M2:M201,"&lt;&gt;"),0)</f>
        <v>500</v>
      </c>
      <c r="L10" s="174"/>
      <c r="M10" s="174"/>
      <c r="N10" s="174"/>
      <c r="O10" s="174"/>
      <c r="P10" s="175"/>
      <c r="R10" s="21" t="s">
        <v>54</v>
      </c>
      <c r="S10" s="184">
        <f ca="1">IFERROR(SUMIFS('📝 Nhật Ký'!N2:N201,'📝 Nhật Ký'!B2:B201,TODAY(),'📝 Nhật Ký'!N2:N201,"&lt;0"),0)</f>
        <v>0</v>
      </c>
      <c r="T10" s="174"/>
      <c r="U10" s="174"/>
      <c r="V10" s="174"/>
      <c r="W10" s="174"/>
      <c r="X10" s="175"/>
    </row>
    <row r="11" spans="2:24" ht="20" customHeight="1" x14ac:dyDescent="0.2">
      <c r="B11" s="19" t="s">
        <v>55</v>
      </c>
      <c r="C11" s="178">
        <f ca="1">SUMIF('📝 Nhật Ký'!B2:B201,TODAY(),'📝 Nhật Ký'!N2:N201)</f>
        <v>0</v>
      </c>
      <c r="D11" s="174"/>
      <c r="E11" s="174"/>
      <c r="F11" s="174"/>
      <c r="G11" s="174"/>
      <c r="H11" s="175"/>
      <c r="J11" s="20" t="s">
        <v>56</v>
      </c>
      <c r="K11" s="191">
        <f>IFERROR(AVERAGEIF('📝 Nhật Ký'!M2:M201,"Thắng",'📝 Nhật Ký'!L2:L201),0)</f>
        <v>25</v>
      </c>
      <c r="L11" s="174"/>
      <c r="M11" s="174"/>
      <c r="N11" s="174"/>
      <c r="O11" s="174"/>
      <c r="P11" s="175"/>
      <c r="R11" s="21" t="s">
        <v>57</v>
      </c>
      <c r="S11" s="201">
        <f>IFERROR((IFERROR('📝 Nhật Ký'!P201,'🏦 Lịch Sử Vốn'!D43)-MAX('📝 Nhật Ký'!P2:P201))/MAX('📝 Nhật Ký'!P2:P201),0)</f>
        <v>-0.1111111111111111</v>
      </c>
      <c r="T11" s="174"/>
      <c r="U11" s="174"/>
      <c r="V11" s="174"/>
      <c r="W11" s="174"/>
      <c r="X11" s="175"/>
    </row>
    <row r="12" spans="2:24" ht="20" customHeight="1" x14ac:dyDescent="0.2">
      <c r="B12" s="189"/>
      <c r="C12" s="174"/>
      <c r="D12" s="174"/>
      <c r="E12" s="174"/>
      <c r="F12" s="174"/>
      <c r="G12" s="174"/>
      <c r="H12" s="175"/>
      <c r="J12" s="20" t="s">
        <v>58</v>
      </c>
      <c r="K12" s="186">
        <f>IFERROR(AVERAGEIF('📝 Nhật Ký'!M2:M201,"Thắng",'📝 Nhật Ký'!N2:N201),0)</f>
        <v>1500</v>
      </c>
      <c r="L12" s="174"/>
      <c r="M12" s="174"/>
      <c r="N12" s="174"/>
      <c r="O12" s="174"/>
      <c r="P12" s="175"/>
      <c r="R12" s="21" t="s">
        <v>59</v>
      </c>
      <c r="S12" s="183">
        <f>IFERROR(COUNTIF('📝 Nhật Ký'!M2:M3,"Thua"),0)</f>
        <v>1</v>
      </c>
      <c r="T12" s="174"/>
      <c r="U12" s="174"/>
      <c r="V12" s="174"/>
      <c r="W12" s="174"/>
      <c r="X12" s="175"/>
    </row>
    <row r="13" spans="2:24" ht="20" customHeight="1" x14ac:dyDescent="0.2">
      <c r="B13" s="198" t="s">
        <v>60</v>
      </c>
      <c r="C13" s="174"/>
      <c r="D13" s="174"/>
      <c r="E13" s="174"/>
      <c r="F13" s="174"/>
      <c r="G13" s="174"/>
      <c r="H13" s="175"/>
      <c r="J13" s="20" t="s">
        <v>61</v>
      </c>
      <c r="K13" s="184">
        <f>IFERROR(AVERAGEIF('📝 Nhật Ký'!M2:M201,"Thua",'📝 Nhật Ký'!N2:N201),0)</f>
        <v>-500</v>
      </c>
      <c r="L13" s="174"/>
      <c r="M13" s="174"/>
      <c r="N13" s="174"/>
      <c r="O13" s="174"/>
      <c r="P13" s="175"/>
    </row>
    <row r="14" spans="2:24" ht="20" customHeight="1" x14ac:dyDescent="0.2"/>
    <row r="15" spans="2:24" ht="8" customHeight="1" x14ac:dyDescent="0.2"/>
    <row r="16" spans="2:24" ht="28" customHeight="1" x14ac:dyDescent="0.2">
      <c r="B16" s="187" t="s">
        <v>62</v>
      </c>
      <c r="C16" s="174"/>
      <c r="D16" s="174"/>
      <c r="E16" s="174"/>
      <c r="F16" s="174"/>
      <c r="G16" s="174"/>
      <c r="H16" s="175"/>
      <c r="J16" s="206" t="s">
        <v>63</v>
      </c>
      <c r="K16" s="174"/>
      <c r="L16" s="174"/>
      <c r="M16" s="174"/>
      <c r="N16" s="174"/>
      <c r="O16" s="174"/>
      <c r="P16" s="175"/>
      <c r="R16" s="190" t="s">
        <v>64</v>
      </c>
      <c r="S16" s="174"/>
      <c r="T16" s="174"/>
      <c r="U16" s="174"/>
      <c r="V16" s="174"/>
      <c r="W16" s="174"/>
      <c r="X16" s="175"/>
    </row>
    <row r="17" spans="2:24" ht="20" customHeight="1" x14ac:dyDescent="0.2">
      <c r="B17" s="207" t="s">
        <v>65</v>
      </c>
      <c r="C17" s="208"/>
      <c r="D17" s="22">
        <f ca="1">COUNTIF('📝 Nhật Ký'!B2:B201,TODAY())</f>
        <v>0</v>
      </c>
      <c r="E17" s="185" t="str">
        <f ca="1">IF(COUNTIF('📝 Nhật Ký'!B2:B201,TODAY())&lt;=2,"✅ OK — Max 2 lệnh","⚠️ Đã đủ lệnh hôm nay")</f>
        <v>✅ OK — Max 2 lệnh</v>
      </c>
      <c r="F17" s="174"/>
      <c r="G17" s="174"/>
      <c r="H17" s="175"/>
      <c r="J17" s="23" t="s">
        <v>16</v>
      </c>
      <c r="L17" s="23" t="s">
        <v>66</v>
      </c>
      <c r="N17" s="23" t="s">
        <v>67</v>
      </c>
      <c r="P17" s="23" t="s">
        <v>68</v>
      </c>
      <c r="R17" s="24" t="s">
        <v>69</v>
      </c>
      <c r="T17" s="24" t="s">
        <v>66</v>
      </c>
      <c r="V17" s="24" t="s">
        <v>67</v>
      </c>
      <c r="X17" s="24" t="s">
        <v>68</v>
      </c>
    </row>
    <row r="18" spans="2:24" ht="18" customHeight="1" x14ac:dyDescent="0.2">
      <c r="B18" s="212" t="s">
        <v>70</v>
      </c>
      <c r="C18" s="213"/>
      <c r="D18" s="25">
        <f ca="1">SUMIFS('📝 Nhật Ký'!N2:N201,'📝 Nhật Ký'!B2:B201,TODAY(),'📝 Nhật Ký'!N2:N201,"&lt;0")</f>
        <v>0</v>
      </c>
      <c r="E18" s="185" t="str">
        <f ca="1">IF(SUMIFS('📝 Nhật Ký'!N2:N201,'📝 Nhật Ký'!B2:B201,TODAY(),'📝 Nhật Ký'!N2:N201,"&lt;0")&gt;=-'🏦 Lịch Sử Vốn'!D43*0.02,"✅ Trong limit","❌ Đã chạm limit — DỪNG")</f>
        <v>✅ Trong limit</v>
      </c>
      <c r="F18" s="174"/>
      <c r="G18" s="174"/>
      <c r="H18" s="175"/>
      <c r="J18" s="26" t="s">
        <v>26</v>
      </c>
      <c r="K18" s="14"/>
      <c r="L18" s="27">
        <f>COUNTIF('📝 Nhật Ký'!Q2:Q201,"Accumulation")</f>
        <v>2</v>
      </c>
      <c r="M18" s="14"/>
      <c r="N18" s="28">
        <f>IFERROR(COUNTIFS('📝 Nhật Ký'!Q2:Q201,"Accumulation",'📝 Nhật Ký'!M2:M201,"Thắng")/COUNTIF('📝 Nhật Ký'!Q2:Q201,"Accumulation"),"—")</f>
        <v>0.5</v>
      </c>
      <c r="O18" s="14"/>
      <c r="P18" s="29">
        <f>IFERROR(SUMIFS('📝 Nhật Ký'!N2:N201,'📝 Nhật Ký'!Q2:Q201,"Accumulation"),0)</f>
        <v>500</v>
      </c>
      <c r="R18" s="26" t="s">
        <v>71</v>
      </c>
      <c r="S18" s="14"/>
      <c r="T18" s="27">
        <f>COUNTIF('📝 Nhật Ký'!R2:R201,"London")</f>
        <v>1</v>
      </c>
      <c r="U18" s="14"/>
      <c r="V18" s="28">
        <f>IFERROR(COUNTIFS('📝 Nhật Ký'!R2:R201,"London",'📝 Nhật Ký'!M2:M201,"Thắng")/COUNTIF('📝 Nhật Ký'!R2:R201,"London"),"—")</f>
        <v>1</v>
      </c>
      <c r="W18" s="14"/>
      <c r="X18" s="29">
        <f>IFERROR(SUMIFS('📝 Nhật Ký'!N2:N201,'📝 Nhật Ký'!R2:R201,"London"),0)</f>
        <v>2000</v>
      </c>
    </row>
    <row r="19" spans="2:24" ht="18" customHeight="1" x14ac:dyDescent="0.2">
      <c r="B19" s="212" t="s">
        <v>72</v>
      </c>
      <c r="C19" s="213"/>
      <c r="D19" s="22">
        <f>COUNTIF('📝 Nhật Ký'!M2:M3,"Thua")</f>
        <v>1</v>
      </c>
      <c r="E19" s="185" t="str">
        <f>IF(COUNTIF('📝 Nhật Ký'!M2:M3,"Thua")&lt;2,"✅ OK","🛑 Thua 2 lệnh — Nghỉ hôm nay")</f>
        <v>✅ OK</v>
      </c>
      <c r="F19" s="174"/>
      <c r="G19" s="174"/>
      <c r="H19" s="175"/>
      <c r="J19" s="26" t="s">
        <v>29</v>
      </c>
      <c r="K19" s="14"/>
      <c r="L19" s="27">
        <f>COUNTIF('📝 Nhật Ký'!Q2:Q201,"Distribution")</f>
        <v>1</v>
      </c>
      <c r="M19" s="14"/>
      <c r="N19" s="28">
        <f>IFERROR(COUNTIFS('📝 Nhật Ký'!Q2:Q201,"Distribution",'📝 Nhật Ký'!M2:M201,"Thắng")/COUNTIF('📝 Nhật Ký'!Q2:Q201,"Distribution"),"—")</f>
        <v>0</v>
      </c>
      <c r="O19" s="14"/>
      <c r="P19" s="29">
        <f>IFERROR(SUMIFS('📝 Nhật Ký'!N2:N201,'📝 Nhật Ký'!Q2:Q201,"Distribution"),0)</f>
        <v>-500</v>
      </c>
      <c r="R19" s="26" t="s">
        <v>73</v>
      </c>
      <c r="S19" s="14"/>
      <c r="T19" s="27">
        <f>COUNTIF('📝 Nhật Ký'!R2:R201,"New York")</f>
        <v>3</v>
      </c>
      <c r="U19" s="14"/>
      <c r="V19" s="28">
        <f>IFERROR(COUNTIFS('📝 Nhật Ký'!R2:R201,"New York",'📝 Nhật Ký'!M2:M201,"Thắng")/COUNTIF('📝 Nhật Ký'!R2:R201,"New York"),"—")</f>
        <v>0.33333333333333331</v>
      </c>
      <c r="W19" s="14"/>
      <c r="X19" s="29">
        <f>IFERROR(SUMIFS('📝 Nhật Ký'!N2:N201,'📝 Nhật Ký'!R2:R201,"New York"),0)</f>
        <v>0</v>
      </c>
    </row>
    <row r="20" spans="2:24" ht="18" customHeight="1" x14ac:dyDescent="0.2">
      <c r="B20" s="212" t="s">
        <v>74</v>
      </c>
      <c r="C20" s="213"/>
      <c r="D20" s="30">
        <f>IFERROR((IFERROR('📝 Nhật Ký'!P201,'🏦 Lịch Sử Vốn'!D43)-MAX('📝 Nhật Ký'!P2:P201))/MAX('📝 Nhật Ký'!P2:P201),0)</f>
        <v>-0.1111111111111111</v>
      </c>
      <c r="E20" s="185" t="str">
        <f>IF(IFERROR((IFERROR('📝 Nhật Ký'!P201,'🏦 Lịch Sử Vốn'!D43)-MAX('📝 Nhật Ký'!P2:P201))/MAX('📝 Nhật Ký'!P2:P201),0)&gt;=-0.05,"✅ OK",IF(IFERROR((IFERROR('📝 Nhật Ký'!P201,'🏦 Lịch Sử Vốn'!D43)-MAX('📝 Nhật Ký'!P2:P201))/MAX('📝 Nhật Ký'!P2:P201),0)&gt;=-0.1,"⚠️ Cẩn thận &gt;5%","❌ Nghỉ 1 tuần &gt;10%"))</f>
        <v>❌ Nghỉ 1 tuần &gt;10%</v>
      </c>
      <c r="F20" s="174"/>
      <c r="G20" s="174"/>
      <c r="H20" s="175"/>
      <c r="J20" s="26" t="s">
        <v>75</v>
      </c>
      <c r="K20" s="14"/>
      <c r="L20" s="27">
        <f>COUNTIF('📝 Nhật Ký'!Q2:Q201,"Spring")</f>
        <v>0</v>
      </c>
      <c r="M20" s="14"/>
      <c r="N20" s="28" t="str">
        <f>IFERROR(COUNTIFS('📝 Nhật Ký'!Q2:Q201,"Spring",'📝 Nhật Ký'!M2:M201,"Thắng")/COUNTIF('📝 Nhật Ký'!Q2:Q201,"Spring"),"—")</f>
        <v>—</v>
      </c>
      <c r="O20" s="14"/>
      <c r="P20" s="29">
        <f>IFERROR(SUMIFS('📝 Nhật Ký'!N2:N201,'📝 Nhật Ký'!Q2:Q201,"Spring"),0)</f>
        <v>0</v>
      </c>
      <c r="R20" s="26" t="s">
        <v>76</v>
      </c>
      <c r="S20" s="14"/>
      <c r="T20" s="27">
        <f>COUNTIF('📝 Nhật Ký'!R2:R201,"Overlap")</f>
        <v>0</v>
      </c>
      <c r="U20" s="14"/>
      <c r="V20" s="28" t="str">
        <f>IFERROR(COUNTIFS('📝 Nhật Ký'!R2:R201,"Overlap",'📝 Nhật Ký'!M2:M201,"Thắng")/COUNTIF('📝 Nhật Ký'!R2:R201,"Overlap"),"—")</f>
        <v>—</v>
      </c>
      <c r="W20" s="14"/>
      <c r="X20" s="29">
        <f>IFERROR(SUMIFS('📝 Nhật Ký'!N2:N201,'📝 Nhật Ký'!R2:R201,"Overlap"),0)</f>
        <v>0</v>
      </c>
    </row>
    <row r="21" spans="2:24" ht="18" customHeight="1" x14ac:dyDescent="0.2">
      <c r="B21" s="212" t="s">
        <v>77</v>
      </c>
      <c r="C21" s="213"/>
      <c r="D21" s="31">
        <f>IFERROR('📝 Nhật Ký'!P201,'🏦 Lịch Sử Vốn'!D43)</f>
        <v>4000</v>
      </c>
      <c r="E21" s="185" t="str">
        <f>IF(IFERROR('📝 Nhật Ký'!P201,'🏦 Lịch Sử Vốn'!D43)&gt;='🏦 Lịch Sử Vốn'!D43,"✅ Trên vốn gốc","⚠️ Dưới vốn gốc")</f>
        <v>✅ Trên vốn gốc</v>
      </c>
      <c r="F21" s="174"/>
      <c r="G21" s="174"/>
      <c r="H21" s="175"/>
      <c r="J21" s="26" t="s">
        <v>78</v>
      </c>
      <c r="K21" s="14"/>
      <c r="L21" s="27">
        <f>COUNTIF('📝 Nhật Ký'!Q2:Q201,"UTAD")</f>
        <v>0</v>
      </c>
      <c r="M21" s="14"/>
      <c r="N21" s="28" t="str">
        <f>IFERROR(COUNTIFS('📝 Nhật Ký'!Q2:Q201,"UTAD",'📝 Nhật Ký'!M2:M201,"Thắng")/COUNTIF('📝 Nhật Ký'!Q2:Q201,"UTAD"),"—")</f>
        <v>—</v>
      </c>
      <c r="O21" s="14"/>
      <c r="P21" s="29">
        <f>IFERROR(SUMIFS('📝 Nhật Ký'!N2:N201,'📝 Nhật Ký'!Q2:Q201,"UTAD"),0)</f>
        <v>0</v>
      </c>
      <c r="R21" s="26" t="s">
        <v>79</v>
      </c>
      <c r="S21" s="14"/>
      <c r="T21" s="27">
        <f>COUNTIF('📝 Nhật Ký'!R2:R201,"Tokyo")</f>
        <v>0</v>
      </c>
      <c r="U21" s="14"/>
      <c r="V21" s="28" t="str">
        <f>IFERROR(COUNTIFS('📝 Nhật Ký'!R2:R201,"Tokyo",'📝 Nhật Ký'!M2:M201,"Thắng")/COUNTIF('📝 Nhật Ký'!R2:R201,"Tokyo"),"—")</f>
        <v>—</v>
      </c>
      <c r="W21" s="14"/>
      <c r="X21" s="29">
        <f>IFERROR(SUMIFS('📝 Nhật Ký'!N2:N201,'📝 Nhật Ký'!R2:R201,"Tokyo"),0)</f>
        <v>0</v>
      </c>
    </row>
    <row r="22" spans="2:24" ht="18" customHeight="1" x14ac:dyDescent="0.2">
      <c r="J22" s="26" t="s">
        <v>80</v>
      </c>
      <c r="K22" s="14"/>
      <c r="L22" s="27">
        <f>COUNTIF('📝 Nhật Ký'!Q2:Q201,"Backup")</f>
        <v>0</v>
      </c>
      <c r="M22" s="14"/>
      <c r="N22" s="28" t="str">
        <f>IFERROR(COUNTIFS('📝 Nhật Ký'!Q2:Q201,"Backup",'📝 Nhật Ký'!M2:M201,"Thắng")/COUNTIF('📝 Nhật Ký'!Q2:Q201,"Backup"),"—")</f>
        <v>—</v>
      </c>
      <c r="O22" s="14"/>
      <c r="P22" s="29">
        <f>IFERROR(SUMIFS('📝 Nhật Ký'!N2:N201,'📝 Nhật Ký'!Q2:Q201,"Backup"),0)</f>
        <v>0</v>
      </c>
      <c r="R22" s="26" t="s">
        <v>81</v>
      </c>
      <c r="S22" s="14"/>
      <c r="T22" s="27">
        <f>COUNTIF('📝 Nhật Ký'!R2:R201,"Sydney")</f>
        <v>0</v>
      </c>
      <c r="U22" s="14"/>
      <c r="V22" s="28" t="str">
        <f>IFERROR(COUNTIFS('📝 Nhật Ký'!R2:R201,"Sydney",'📝 Nhật Ký'!M2:M201,"Thắng")/COUNTIF('📝 Nhật Ký'!R2:R201,"Sydney"),"—")</f>
        <v>—</v>
      </c>
      <c r="W22" s="14"/>
      <c r="X22" s="29">
        <f>IFERROR(SUMIFS('📝 Nhật Ký'!N2:N201,'📝 Nhật Ký'!R2:R201,"Sydney"),0)</f>
        <v>0</v>
      </c>
    </row>
    <row r="23" spans="2:24" ht="18" customHeight="1" x14ac:dyDescent="0.2">
      <c r="J23" s="26" t="s">
        <v>82</v>
      </c>
      <c r="K23" s="14"/>
      <c r="L23" s="27">
        <f>COUNTIF('📝 Nhật Ký'!Q2:Q201,"Demand")</f>
        <v>1</v>
      </c>
      <c r="M23" s="14"/>
      <c r="N23" s="28">
        <f>IFERROR(COUNTIFS('📝 Nhật Ký'!Q2:Q201,"Demand",'📝 Nhật Ký'!M2:M201,"Thắng")/COUNTIF('📝 Nhật Ký'!Q2:Q201,"Demand"),"—")</f>
        <v>1</v>
      </c>
      <c r="O23" s="14"/>
      <c r="P23" s="29">
        <f>IFERROR(SUMIFS('📝 Nhật Ký'!N2:N201,'📝 Nhật Ký'!Q2:Q201,"Demand"),0)</f>
        <v>2000</v>
      </c>
    </row>
    <row r="24" spans="2:24" ht="18" customHeight="1" x14ac:dyDescent="0.2">
      <c r="J24" s="26" t="s">
        <v>83</v>
      </c>
      <c r="K24" s="14"/>
      <c r="L24" s="27">
        <f>COUNTIF('📝 Nhật Ký'!Q2:Q201,"Supply")</f>
        <v>0</v>
      </c>
      <c r="M24" s="14"/>
      <c r="N24" s="28" t="str">
        <f>IFERROR(COUNTIFS('📝 Nhật Ký'!Q2:Q201,"Supply",'📝 Nhật Ký'!M2:M201,"Thắng")/COUNTIF('📝 Nhật Ký'!Q2:Q201,"Supply"),"—")</f>
        <v>—</v>
      </c>
      <c r="O24" s="14"/>
      <c r="P24" s="29">
        <f>IFERROR(SUMIFS('📝 Nhật Ký'!N2:N201,'📝 Nhật Ký'!Q2:Q201,"Supply"),0)</f>
        <v>0</v>
      </c>
    </row>
    <row r="25" spans="2:24" ht="18" customHeight="1" x14ac:dyDescent="0.2">
      <c r="J25" s="26" t="s">
        <v>84</v>
      </c>
      <c r="K25" s="14"/>
      <c r="L25" s="27">
        <f>COUNTIF('📝 Nhật Ký'!Q2:Q201,"MPL")</f>
        <v>0</v>
      </c>
      <c r="M25" s="14"/>
      <c r="N25" s="28" t="str">
        <f>IFERROR(COUNTIFS('📝 Nhật Ký'!Q2:Q201,"MPL",'📝 Nhật Ký'!M2:M201,"Thắng")/COUNTIF('📝 Nhật Ký'!Q2:Q201,"MPL"),"—")</f>
        <v>—</v>
      </c>
      <c r="O25" s="14"/>
      <c r="P25" s="29">
        <f>IFERROR(SUMIFS('📝 Nhật Ký'!N2:N201,'📝 Nhật Ký'!Q2:Q201,"MPL"),0)</f>
        <v>0</v>
      </c>
    </row>
    <row r="26" spans="2:24" ht="18" customHeight="1" x14ac:dyDescent="0.2">
      <c r="J26" s="26" t="s">
        <v>85</v>
      </c>
      <c r="K26" s="14"/>
      <c r="L26" s="27">
        <f>COUNTIF('📝 Nhật Ký'!Q2:Q201,"QML")</f>
        <v>0</v>
      </c>
      <c r="M26" s="14"/>
      <c r="N26" s="28" t="str">
        <f>IFERROR(COUNTIFS('📝 Nhật Ký'!Q2:Q201,"QML",'📝 Nhật Ký'!M2:M201,"Thắng")/COUNTIF('📝 Nhật Ký'!Q2:Q201,"QML"),"—")</f>
        <v>—</v>
      </c>
      <c r="O26" s="14"/>
      <c r="P26" s="29">
        <f>IFERROR(SUMIFS('📝 Nhật Ký'!N2:N201,'📝 Nhật Ký'!Q2:Q201,"QML"),0)</f>
        <v>0</v>
      </c>
    </row>
    <row r="27" spans="2:24" ht="8" customHeight="1" x14ac:dyDescent="0.2"/>
    <row r="28" spans="2:24" ht="28" customHeight="1" x14ac:dyDescent="0.2">
      <c r="B28" s="196" t="s">
        <v>86</v>
      </c>
      <c r="C28" s="174"/>
      <c r="D28" s="174"/>
      <c r="E28" s="174"/>
      <c r="F28" s="174"/>
      <c r="G28" s="174"/>
      <c r="H28" s="175"/>
      <c r="J28" s="204" t="s">
        <v>87</v>
      </c>
      <c r="K28" s="174"/>
      <c r="L28" s="174"/>
      <c r="M28" s="174"/>
      <c r="N28" s="174"/>
      <c r="O28" s="174"/>
      <c r="P28" s="174"/>
      <c r="Q28" s="174"/>
      <c r="R28" s="174"/>
      <c r="S28" s="174"/>
      <c r="T28" s="174"/>
      <c r="U28" s="174"/>
      <c r="V28" s="174"/>
      <c r="W28" s="174"/>
      <c r="X28" s="175"/>
    </row>
    <row r="29" spans="2:24" ht="20" customHeight="1" x14ac:dyDescent="0.2">
      <c r="B29" s="179" t="s">
        <v>88</v>
      </c>
      <c r="C29" s="174"/>
      <c r="D29" s="174"/>
      <c r="E29" s="174"/>
      <c r="F29" s="174"/>
      <c r="G29" s="174"/>
      <c r="H29" s="175"/>
      <c r="J29" s="188" t="s">
        <v>89</v>
      </c>
      <c r="K29" s="174"/>
      <c r="L29" s="174"/>
      <c r="M29" s="174"/>
      <c r="N29" s="174"/>
      <c r="O29" s="174"/>
      <c r="P29" s="174"/>
      <c r="Q29" s="174"/>
      <c r="R29" s="174"/>
      <c r="S29" s="174"/>
      <c r="T29" s="174"/>
      <c r="U29" s="174"/>
      <c r="V29" s="174"/>
      <c r="W29" s="174"/>
      <c r="X29" s="175"/>
    </row>
    <row r="30" spans="2:24" ht="20" customHeight="1" x14ac:dyDescent="0.2">
      <c r="B30" s="200" t="s">
        <v>90</v>
      </c>
      <c r="C30" s="174"/>
      <c r="D30" s="174"/>
      <c r="E30" s="174"/>
      <c r="F30" s="174"/>
      <c r="G30" s="174"/>
      <c r="H30" s="175"/>
      <c r="J30" s="199" t="s">
        <v>91</v>
      </c>
      <c r="K30" s="174"/>
      <c r="L30" s="174"/>
      <c r="M30" s="174"/>
      <c r="N30" s="174"/>
      <c r="O30" s="174"/>
      <c r="P30" s="174"/>
      <c r="Q30" s="174"/>
      <c r="R30" s="174"/>
      <c r="S30" s="174"/>
      <c r="T30" s="174"/>
      <c r="U30" s="174"/>
      <c r="V30" s="174"/>
      <c r="W30" s="174"/>
      <c r="X30" s="175"/>
    </row>
    <row r="31" spans="2:24" ht="20" customHeight="1" x14ac:dyDescent="0.2">
      <c r="B31" s="179" t="s">
        <v>92</v>
      </c>
      <c r="C31" s="174"/>
      <c r="D31" s="174"/>
      <c r="E31" s="174"/>
      <c r="F31" s="174"/>
      <c r="G31" s="174"/>
      <c r="H31" s="175"/>
      <c r="J31" s="188" t="s">
        <v>93</v>
      </c>
      <c r="K31" s="174"/>
      <c r="L31" s="174"/>
      <c r="M31" s="174"/>
      <c r="N31" s="174"/>
      <c r="O31" s="174"/>
      <c r="P31" s="174"/>
      <c r="Q31" s="174"/>
      <c r="R31" s="174"/>
      <c r="S31" s="174"/>
      <c r="T31" s="174"/>
      <c r="U31" s="174"/>
      <c r="V31" s="174"/>
      <c r="W31" s="174"/>
      <c r="X31" s="175"/>
    </row>
    <row r="32" spans="2:24" ht="20" customHeight="1" x14ac:dyDescent="0.2">
      <c r="B32" s="200" t="s">
        <v>94</v>
      </c>
      <c r="C32" s="174"/>
      <c r="D32" s="174"/>
      <c r="E32" s="174"/>
      <c r="F32" s="174"/>
      <c r="G32" s="174"/>
      <c r="H32" s="175"/>
      <c r="J32" s="199" t="s">
        <v>95</v>
      </c>
      <c r="K32" s="174"/>
      <c r="L32" s="174"/>
      <c r="M32" s="174"/>
      <c r="N32" s="174"/>
      <c r="O32" s="174"/>
      <c r="P32" s="174"/>
      <c r="Q32" s="174"/>
      <c r="R32" s="174"/>
      <c r="S32" s="174"/>
      <c r="T32" s="174"/>
      <c r="U32" s="174"/>
      <c r="V32" s="174"/>
      <c r="W32" s="174"/>
      <c r="X32" s="175"/>
    </row>
    <row r="33" spans="2:24" ht="20" customHeight="1" x14ac:dyDescent="0.2">
      <c r="B33" s="179" t="s">
        <v>96</v>
      </c>
      <c r="C33" s="174"/>
      <c r="D33" s="174"/>
      <c r="E33" s="174"/>
      <c r="F33" s="174"/>
      <c r="G33" s="174"/>
      <c r="H33" s="175"/>
      <c r="J33" s="188" t="s">
        <v>97</v>
      </c>
      <c r="K33" s="174"/>
      <c r="L33" s="174"/>
      <c r="M33" s="174"/>
      <c r="N33" s="174"/>
      <c r="O33" s="174"/>
      <c r="P33" s="174"/>
      <c r="Q33" s="174"/>
      <c r="R33" s="174"/>
      <c r="S33" s="174"/>
      <c r="T33" s="174"/>
      <c r="U33" s="174"/>
      <c r="V33" s="174"/>
      <c r="W33" s="174"/>
      <c r="X33" s="175"/>
    </row>
    <row r="34" spans="2:24" ht="20" customHeight="1" x14ac:dyDescent="0.2">
      <c r="B34" s="200" t="s">
        <v>98</v>
      </c>
      <c r="C34" s="174"/>
      <c r="D34" s="174"/>
      <c r="E34" s="174"/>
      <c r="F34" s="174"/>
      <c r="G34" s="174"/>
      <c r="H34" s="175"/>
      <c r="J34" s="199" t="s">
        <v>99</v>
      </c>
      <c r="K34" s="174"/>
      <c r="L34" s="174"/>
      <c r="M34" s="174"/>
      <c r="N34" s="174"/>
      <c r="O34" s="174"/>
      <c r="P34" s="174"/>
      <c r="Q34" s="174"/>
      <c r="R34" s="174"/>
      <c r="S34" s="174"/>
      <c r="T34" s="174"/>
      <c r="U34" s="174"/>
      <c r="V34" s="174"/>
      <c r="W34" s="174"/>
      <c r="X34" s="175"/>
    </row>
    <row r="35" spans="2:24" ht="20" customHeight="1" x14ac:dyDescent="0.2">
      <c r="B35" s="179" t="s">
        <v>100</v>
      </c>
      <c r="C35" s="174"/>
      <c r="D35" s="174"/>
      <c r="E35" s="174"/>
      <c r="F35" s="174"/>
      <c r="G35" s="174"/>
      <c r="H35" s="175"/>
      <c r="J35" s="188" t="s">
        <v>101</v>
      </c>
      <c r="K35" s="174"/>
      <c r="L35" s="174"/>
      <c r="M35" s="174"/>
      <c r="N35" s="174"/>
      <c r="O35" s="174"/>
      <c r="P35" s="174"/>
      <c r="Q35" s="174"/>
      <c r="R35" s="174"/>
      <c r="S35" s="174"/>
      <c r="T35" s="174"/>
      <c r="U35" s="174"/>
      <c r="V35" s="174"/>
      <c r="W35" s="174"/>
      <c r="X35" s="175"/>
    </row>
    <row r="36" spans="2:24" ht="20" customHeight="1" x14ac:dyDescent="0.2">
      <c r="B36" s="200" t="s">
        <v>102</v>
      </c>
      <c r="C36" s="174"/>
      <c r="D36" s="174"/>
      <c r="E36" s="174"/>
      <c r="F36" s="174"/>
      <c r="G36" s="174"/>
      <c r="H36" s="175"/>
      <c r="J36" s="199" t="s">
        <v>103</v>
      </c>
      <c r="K36" s="174"/>
      <c r="L36" s="174"/>
      <c r="M36" s="174"/>
      <c r="N36" s="174"/>
      <c r="O36" s="174"/>
      <c r="P36" s="174"/>
      <c r="Q36" s="174"/>
      <c r="R36" s="174"/>
      <c r="S36" s="174"/>
      <c r="T36" s="174"/>
      <c r="U36" s="174"/>
      <c r="V36" s="174"/>
      <c r="W36" s="174"/>
      <c r="X36" s="175"/>
    </row>
    <row r="37" spans="2:24" ht="20" customHeight="1" x14ac:dyDescent="0.2">
      <c r="B37" s="179" t="s">
        <v>104</v>
      </c>
      <c r="C37" s="174"/>
      <c r="D37" s="174"/>
      <c r="E37" s="174"/>
      <c r="F37" s="174"/>
      <c r="G37" s="174"/>
      <c r="H37" s="175"/>
      <c r="J37" s="188" t="s">
        <v>105</v>
      </c>
      <c r="K37" s="174"/>
      <c r="L37" s="174"/>
      <c r="M37" s="174"/>
      <c r="N37" s="174"/>
      <c r="O37" s="174"/>
      <c r="P37" s="174"/>
      <c r="Q37" s="174"/>
      <c r="R37" s="174"/>
      <c r="S37" s="174"/>
      <c r="T37" s="174"/>
      <c r="U37" s="174"/>
      <c r="V37" s="174"/>
      <c r="W37" s="174"/>
      <c r="X37" s="175"/>
    </row>
    <row r="38" spans="2:24" ht="20" customHeight="1" x14ac:dyDescent="0.2">
      <c r="B38" s="200" t="s">
        <v>106</v>
      </c>
      <c r="C38" s="174"/>
      <c r="D38" s="174"/>
      <c r="E38" s="174"/>
      <c r="F38" s="174"/>
      <c r="G38" s="174"/>
      <c r="H38" s="175"/>
      <c r="J38" s="199" t="s">
        <v>107</v>
      </c>
      <c r="K38" s="174"/>
      <c r="L38" s="174"/>
      <c r="M38" s="174"/>
      <c r="N38" s="174"/>
      <c r="O38" s="174"/>
      <c r="P38" s="174"/>
      <c r="Q38" s="174"/>
      <c r="R38" s="174"/>
      <c r="S38" s="174"/>
      <c r="T38" s="174"/>
      <c r="U38" s="174"/>
      <c r="V38" s="174"/>
      <c r="W38" s="174"/>
      <c r="X38" s="175"/>
    </row>
    <row r="39" spans="2:24" ht="10" customHeight="1" x14ac:dyDescent="0.2"/>
    <row r="40" spans="2:24" ht="34" customHeight="1" x14ac:dyDescent="0.2">
      <c r="B40" s="197" t="s">
        <v>583</v>
      </c>
      <c r="C40" s="181"/>
      <c r="D40" s="181"/>
      <c r="E40" s="181"/>
      <c r="F40" s="181"/>
      <c r="G40" s="181"/>
      <c r="H40" s="181"/>
      <c r="I40" s="181"/>
      <c r="J40" s="181"/>
      <c r="K40" s="181"/>
      <c r="L40" s="181"/>
      <c r="M40" s="181"/>
      <c r="N40" s="181"/>
      <c r="O40" s="181"/>
      <c r="P40" s="181"/>
      <c r="Q40" s="181"/>
      <c r="R40" s="181"/>
      <c r="S40" s="181"/>
      <c r="T40" s="181"/>
      <c r="U40" s="181"/>
      <c r="V40" s="181"/>
      <c r="W40" s="181"/>
      <c r="X40" s="182"/>
    </row>
    <row r="41" spans="2:24" ht="26" customHeight="1" x14ac:dyDescent="0.2">
      <c r="B41" s="211" t="s">
        <v>108</v>
      </c>
      <c r="C41" s="181"/>
      <c r="D41" s="181"/>
      <c r="E41" s="181"/>
      <c r="F41" s="181"/>
      <c r="G41" s="181"/>
      <c r="H41" s="181"/>
      <c r="I41" s="181"/>
      <c r="J41" s="181"/>
      <c r="K41" s="181"/>
      <c r="L41" s="182"/>
      <c r="M41" s="194" t="s">
        <v>109</v>
      </c>
      <c r="N41" s="181"/>
      <c r="O41" s="181"/>
      <c r="P41" s="181"/>
      <c r="Q41" s="181"/>
      <c r="R41" s="181"/>
      <c r="S41" s="181"/>
      <c r="T41" s="181"/>
      <c r="U41" s="181"/>
      <c r="V41" s="181"/>
      <c r="W41" s="181"/>
      <c r="X41" s="182"/>
    </row>
    <row r="42" spans="2:24" ht="22" customHeight="1" x14ac:dyDescent="0.2">
      <c r="B42" s="210" t="s">
        <v>110</v>
      </c>
      <c r="C42" s="181"/>
      <c r="D42" s="181"/>
      <c r="E42" s="181"/>
      <c r="F42" s="181"/>
      <c r="G42" s="182"/>
      <c r="H42" s="100" t="s">
        <v>111</v>
      </c>
      <c r="I42" s="101"/>
      <c r="J42" s="101"/>
      <c r="K42" s="101"/>
      <c r="L42" s="101"/>
      <c r="M42" s="180" t="s">
        <v>112</v>
      </c>
      <c r="N42" s="181"/>
      <c r="O42" s="181"/>
      <c r="P42" s="181"/>
      <c r="Q42" s="181"/>
      <c r="R42" s="181"/>
      <c r="S42" s="182"/>
      <c r="T42" s="103" t="s">
        <v>113</v>
      </c>
      <c r="U42" s="104"/>
      <c r="V42" s="104"/>
      <c r="W42" s="104"/>
      <c r="X42" s="104"/>
    </row>
    <row r="43" spans="2:24" ht="22" customHeight="1" x14ac:dyDescent="0.2">
      <c r="B43" s="195" t="s">
        <v>114</v>
      </c>
      <c r="C43" s="181"/>
      <c r="D43" s="181"/>
      <c r="E43" s="181"/>
      <c r="F43" s="181"/>
      <c r="G43" s="182"/>
      <c r="H43" s="106" t="s">
        <v>111</v>
      </c>
      <c r="I43" s="107"/>
      <c r="J43" s="107"/>
      <c r="K43" s="107"/>
      <c r="L43" s="107"/>
      <c r="M43" s="195" t="s">
        <v>115</v>
      </c>
      <c r="N43" s="181"/>
      <c r="O43" s="181"/>
      <c r="P43" s="181"/>
      <c r="Q43" s="181"/>
      <c r="R43" s="181"/>
      <c r="S43" s="182"/>
      <c r="T43" s="108" t="s">
        <v>113</v>
      </c>
      <c r="U43" s="107"/>
      <c r="V43" s="107"/>
      <c r="W43" s="107"/>
      <c r="X43" s="107"/>
    </row>
    <row r="44" spans="2:24" ht="22" customHeight="1" x14ac:dyDescent="0.2">
      <c r="B44" s="209" t="s">
        <v>116</v>
      </c>
      <c r="C44" s="181"/>
      <c r="D44" s="181"/>
      <c r="E44" s="181"/>
      <c r="F44" s="181"/>
      <c r="G44" s="182"/>
      <c r="H44" s="110" t="s">
        <v>111</v>
      </c>
      <c r="I44" s="111"/>
      <c r="J44" s="111"/>
      <c r="K44" s="111"/>
      <c r="L44" s="111"/>
      <c r="M44" s="180" t="s">
        <v>117</v>
      </c>
      <c r="N44" s="181"/>
      <c r="O44" s="181"/>
      <c r="P44" s="181"/>
      <c r="Q44" s="181"/>
      <c r="R44" s="181"/>
      <c r="S44" s="182"/>
      <c r="T44" s="103" t="s">
        <v>113</v>
      </c>
      <c r="U44" s="104"/>
      <c r="V44" s="104"/>
      <c r="W44" s="104"/>
      <c r="X44" s="104"/>
    </row>
    <row r="45" spans="2:24" ht="22" customHeight="1" x14ac:dyDescent="0.2">
      <c r="B45" s="195" t="s">
        <v>118</v>
      </c>
      <c r="C45" s="181"/>
      <c r="D45" s="181"/>
      <c r="E45" s="181"/>
      <c r="F45" s="181"/>
      <c r="G45" s="182"/>
      <c r="H45" s="112" t="s">
        <v>111</v>
      </c>
      <c r="I45" s="107"/>
      <c r="J45" s="107"/>
      <c r="K45" s="107"/>
      <c r="L45" s="107"/>
      <c r="M45" s="195" t="s">
        <v>119</v>
      </c>
      <c r="N45" s="181"/>
      <c r="O45" s="181"/>
      <c r="P45" s="181"/>
      <c r="Q45" s="181"/>
      <c r="R45" s="181"/>
      <c r="S45" s="182"/>
      <c r="T45" s="113" t="s">
        <v>120</v>
      </c>
      <c r="U45" s="107"/>
      <c r="V45" s="107"/>
      <c r="W45" s="107"/>
      <c r="X45" s="107"/>
    </row>
    <row r="46" spans="2:24" ht="22" customHeight="1" x14ac:dyDescent="0.2">
      <c r="M46" s="209" t="s">
        <v>121</v>
      </c>
      <c r="N46" s="181"/>
      <c r="O46" s="181"/>
      <c r="P46" s="181"/>
      <c r="Q46" s="181"/>
      <c r="R46" s="181"/>
      <c r="S46" s="182"/>
      <c r="T46" s="114" t="s">
        <v>122</v>
      </c>
      <c r="U46" s="111"/>
      <c r="V46" s="111"/>
      <c r="W46" s="111"/>
      <c r="X46" s="111"/>
    </row>
    <row r="47" spans="2:24" ht="10" customHeight="1" x14ac:dyDescent="0.2"/>
    <row r="48" spans="2:24" ht="28" customHeight="1" x14ac:dyDescent="0.2">
      <c r="B48" s="192" t="s">
        <v>123</v>
      </c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  <c r="N48" s="181"/>
      <c r="O48" s="181"/>
      <c r="P48" s="181"/>
      <c r="Q48" s="181"/>
      <c r="R48" s="181"/>
      <c r="S48" s="181"/>
      <c r="T48" s="181"/>
      <c r="U48" s="181"/>
      <c r="V48" s="181"/>
      <c r="W48" s="181"/>
      <c r="X48" s="182"/>
    </row>
    <row r="49" ht="20" customHeight="1" x14ac:dyDescent="0.2"/>
    <row r="50" ht="20" customHeight="1" x14ac:dyDescent="0.2"/>
    <row r="51" ht="20" customHeight="1" x14ac:dyDescent="0.2"/>
    <row r="52" ht="20" customHeight="1" x14ac:dyDescent="0.2"/>
    <row r="53" ht="20" customHeight="1" x14ac:dyDescent="0.2"/>
    <row r="54" ht="20" customHeight="1" x14ac:dyDescent="0.2"/>
    <row r="55" ht="20" customHeight="1" x14ac:dyDescent="0.2"/>
    <row r="56" ht="20" customHeight="1" x14ac:dyDescent="0.2"/>
    <row r="57" ht="20" customHeight="1" x14ac:dyDescent="0.2"/>
    <row r="58" ht="20" customHeight="1" x14ac:dyDescent="0.2"/>
    <row r="59" ht="20" customHeight="1" x14ac:dyDescent="0.2"/>
  </sheetData>
  <sheetProtection algorithmName="SHA-512" hashValue="km3BmuUvbFgagv+MlfIlgQ5Y69qc0SfUF/zVuV0WQCgbEBGDn2M5WATPFSTFdzPo+B+TFOO9WtVeCZmCPmZZZw==" saltValue="TwE5/iCDIY1kwnI8pSVj5Q==" spinCount="100000" sheet="1" objects="1" scenarios="1"/>
  <mergeCells count="78">
    <mergeCell ref="J34:X34"/>
    <mergeCell ref="M42:S42"/>
    <mergeCell ref="C10:H10"/>
    <mergeCell ref="M45:S45"/>
    <mergeCell ref="J30:X30"/>
    <mergeCell ref="B42:G42"/>
    <mergeCell ref="B43:G43"/>
    <mergeCell ref="J37:X37"/>
    <mergeCell ref="B37:H37"/>
    <mergeCell ref="B41:L41"/>
    <mergeCell ref="B18:C18"/>
    <mergeCell ref="B19:C19"/>
    <mergeCell ref="B20:C20"/>
    <mergeCell ref="B21:C21"/>
    <mergeCell ref="S7:X7"/>
    <mergeCell ref="C9:H9"/>
    <mergeCell ref="B30:H30"/>
    <mergeCell ref="M46:S46"/>
    <mergeCell ref="J36:X36"/>
    <mergeCell ref="B33:H33"/>
    <mergeCell ref="B44:G44"/>
    <mergeCell ref="K12:P12"/>
    <mergeCell ref="J35:X35"/>
    <mergeCell ref="K8:P8"/>
    <mergeCell ref="B36:H36"/>
    <mergeCell ref="C11:H11"/>
    <mergeCell ref="B32:H32"/>
    <mergeCell ref="S10:X10"/>
    <mergeCell ref="E18:H18"/>
    <mergeCell ref="B38:H38"/>
    <mergeCell ref="S6:X6"/>
    <mergeCell ref="B35:H35"/>
    <mergeCell ref="B4:H4"/>
    <mergeCell ref="S9:X9"/>
    <mergeCell ref="J32:X32"/>
    <mergeCell ref="E21:H21"/>
    <mergeCell ref="C6:H6"/>
    <mergeCell ref="K5:P5"/>
    <mergeCell ref="C5:H5"/>
    <mergeCell ref="J28:X28"/>
    <mergeCell ref="J4:P4"/>
    <mergeCell ref="B29:H29"/>
    <mergeCell ref="S8:X8"/>
    <mergeCell ref="J16:P16"/>
    <mergeCell ref="S11:X11"/>
    <mergeCell ref="B17:C17"/>
    <mergeCell ref="B48:X48"/>
    <mergeCell ref="B16:H16"/>
    <mergeCell ref="C8:H8"/>
    <mergeCell ref="M41:X41"/>
    <mergeCell ref="M43:S43"/>
    <mergeCell ref="J31:X31"/>
    <mergeCell ref="B45:G45"/>
    <mergeCell ref="E19:H19"/>
    <mergeCell ref="S12:X12"/>
    <mergeCell ref="B28:H28"/>
    <mergeCell ref="B40:X40"/>
    <mergeCell ref="K9:P9"/>
    <mergeCell ref="J29:X29"/>
    <mergeCell ref="B13:H13"/>
    <mergeCell ref="J38:X38"/>
    <mergeCell ref="B34:H34"/>
    <mergeCell ref="B2:X2"/>
    <mergeCell ref="C7:H7"/>
    <mergeCell ref="B31:H31"/>
    <mergeCell ref="M44:S44"/>
    <mergeCell ref="K7:P7"/>
    <mergeCell ref="S5:X5"/>
    <mergeCell ref="E17:H17"/>
    <mergeCell ref="K10:P10"/>
    <mergeCell ref="R4:X4"/>
    <mergeCell ref="J33:X33"/>
    <mergeCell ref="B12:H12"/>
    <mergeCell ref="K6:P6"/>
    <mergeCell ref="K13:P13"/>
    <mergeCell ref="E20:H20"/>
    <mergeCell ref="R16:X16"/>
    <mergeCell ref="K11:P11"/>
  </mergeCells>
  <hyperlinks>
    <hyperlink ref="H42" r:id="rId1" xr:uid="{00000000-0004-0000-0100-000000000000}"/>
    <hyperlink ref="T42" r:id="rId2" xr:uid="{00000000-0004-0000-0100-000001000000}"/>
    <hyperlink ref="H43" r:id="rId3" xr:uid="{00000000-0004-0000-0100-000002000000}"/>
    <hyperlink ref="T43" r:id="rId4" xr:uid="{00000000-0004-0000-0100-000003000000}"/>
    <hyperlink ref="H44" r:id="rId5" xr:uid="{00000000-0004-0000-0100-000004000000}"/>
    <hyperlink ref="T44" r:id="rId6" xr:uid="{00000000-0004-0000-0100-000005000000}"/>
    <hyperlink ref="H45" r:id="rId7" xr:uid="{00000000-0004-0000-0100-000006000000}"/>
    <hyperlink ref="T45" r:id="rId8" xr:uid="{00000000-0004-0000-0100-000007000000}"/>
    <hyperlink ref="T46" r:id="rId9" xr:uid="{00000000-0004-0000-0100-000008000000}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7030A0"/>
  </sheetPr>
  <dimension ref="B1:H230"/>
  <sheetViews>
    <sheetView showGridLines="0" workbookViewId="0">
      <pane xSplit="2" ySplit="4" topLeftCell="C5" activePane="bottomRight" state="frozen"/>
      <selection pane="topRight"/>
      <selection pane="bottomLeft"/>
      <selection pane="bottomRight" activeCell="AB52" sqref="AB52"/>
    </sheetView>
  </sheetViews>
  <sheetFormatPr baseColWidth="10" defaultColWidth="8.83203125" defaultRowHeight="15" x14ac:dyDescent="0.2"/>
  <cols>
    <col min="1" max="1" width="4" customWidth="1"/>
    <col min="2" max="2" width="5" customWidth="1"/>
    <col min="3" max="3" width="14" customWidth="1"/>
    <col min="4" max="4" width="12" customWidth="1"/>
    <col min="5" max="5" width="11" customWidth="1"/>
    <col min="6" max="8" width="14" customWidth="1"/>
    <col min="9" max="9" width="3" customWidth="1"/>
  </cols>
  <sheetData>
    <row r="1" spans="2:8" ht="8" customHeight="1" x14ac:dyDescent="0.2"/>
    <row r="2" spans="2:8" ht="36" customHeight="1" x14ac:dyDescent="0.2">
      <c r="B2" s="215" t="s">
        <v>124</v>
      </c>
      <c r="C2" s="174"/>
      <c r="D2" s="174"/>
      <c r="E2" s="174"/>
      <c r="F2" s="174"/>
      <c r="G2" s="174"/>
      <c r="H2" s="175"/>
    </row>
    <row r="3" spans="2:8" ht="8" customHeight="1" x14ac:dyDescent="0.2"/>
    <row r="4" spans="2:8" ht="24" customHeight="1" x14ac:dyDescent="0.2">
      <c r="B4" s="15" t="s">
        <v>0</v>
      </c>
      <c r="C4" s="32" t="s">
        <v>2</v>
      </c>
      <c r="D4" s="32" t="s">
        <v>3</v>
      </c>
      <c r="E4" s="33" t="s">
        <v>12</v>
      </c>
      <c r="F4" s="33" t="s">
        <v>13</v>
      </c>
      <c r="G4" s="15" t="s">
        <v>15</v>
      </c>
      <c r="H4" s="34" t="s">
        <v>125</v>
      </c>
    </row>
    <row r="5" spans="2:8" ht="16" customHeight="1" x14ac:dyDescent="0.2">
      <c r="B5" s="35">
        <v>1</v>
      </c>
      <c r="C5" s="36">
        <f>'📝 Nhật Ký'!C2</f>
        <v>46177</v>
      </c>
      <c r="D5" s="37" t="str">
        <f>'📝 Nhật Ký'!D2</f>
        <v>BTC/USD</v>
      </c>
      <c r="E5" s="38" t="str">
        <f>'📝 Nhật Ký'!M2</f>
        <v>Thắng</v>
      </c>
      <c r="F5" s="39">
        <f>'📝 Nhật Ký'!N2</f>
        <v>1000</v>
      </c>
      <c r="G5" s="40">
        <f>'📝 Nhật Ký'!P2</f>
        <v>3000</v>
      </c>
      <c r="H5" s="41">
        <f>0</f>
        <v>0</v>
      </c>
    </row>
    <row r="6" spans="2:8" ht="16" customHeight="1" x14ac:dyDescent="0.2">
      <c r="B6" s="35">
        <v>2</v>
      </c>
      <c r="C6" s="36">
        <f>'📝 Nhật Ký'!C3</f>
        <v>46175</v>
      </c>
      <c r="D6" s="37" t="str">
        <f>'📝 Nhật Ký'!D3</f>
        <v>XAU/USD</v>
      </c>
      <c r="E6" s="38" t="str">
        <f>'📝 Nhật Ký'!M3</f>
        <v>Thua</v>
      </c>
      <c r="F6" s="39">
        <f>'📝 Nhật Ký'!N3</f>
        <v>-500</v>
      </c>
      <c r="G6" s="40">
        <f>'📝 Nhật Ký'!P3</f>
        <v>2500</v>
      </c>
      <c r="H6" s="41">
        <f>IFERROR((G6-MAX($G$5:G6))/MAX($G$5:G6),0)</f>
        <v>-0.16666666666666666</v>
      </c>
    </row>
    <row r="7" spans="2:8" ht="16" customHeight="1" x14ac:dyDescent="0.2">
      <c r="B7" s="35">
        <v>3</v>
      </c>
      <c r="C7" s="36">
        <f>'📝 Nhật Ký'!C4</f>
        <v>46176</v>
      </c>
      <c r="D7" s="37" t="str">
        <f>'📝 Nhật Ký'!D4</f>
        <v>XAU/USD</v>
      </c>
      <c r="E7" s="38" t="str">
        <f>'📝 Nhật Ký'!M4</f>
        <v>Thắng</v>
      </c>
      <c r="F7" s="39">
        <f>'📝 Nhật Ký'!N4</f>
        <v>2000</v>
      </c>
      <c r="G7" s="40">
        <f>'📝 Nhật Ký'!P4</f>
        <v>4500</v>
      </c>
      <c r="H7" s="41">
        <f>IFERROR((G7-MAX($G$5:G7))/MAX($G$5:G7),0)</f>
        <v>0</v>
      </c>
    </row>
    <row r="8" spans="2:8" ht="16" customHeight="1" x14ac:dyDescent="0.2">
      <c r="B8" s="35">
        <v>4</v>
      </c>
      <c r="C8" s="36">
        <f>'📝 Nhật Ký'!C5</f>
        <v>46176</v>
      </c>
      <c r="D8" s="37" t="str">
        <f>'📝 Nhật Ký'!D5</f>
        <v>XAU/USD</v>
      </c>
      <c r="E8" s="38" t="str">
        <f>'📝 Nhật Ký'!M5</f>
        <v>Thua</v>
      </c>
      <c r="F8" s="39">
        <f>'📝 Nhật Ký'!N5</f>
        <v>-500</v>
      </c>
      <c r="G8" s="40">
        <f>'📝 Nhật Ký'!P5</f>
        <v>4000</v>
      </c>
      <c r="H8" s="41">
        <f>IFERROR((G8-MAX($G$5:G8))/MAX($G$5:G8),0)</f>
        <v>-0.1111111111111111</v>
      </c>
    </row>
    <row r="9" spans="2:8" ht="16" customHeight="1" x14ac:dyDescent="0.2">
      <c r="B9" s="35">
        <v>5</v>
      </c>
      <c r="C9" s="36">
        <f>'📝 Nhật Ký'!C6</f>
        <v>0</v>
      </c>
      <c r="D9" s="37">
        <f>'📝 Nhật Ký'!D6</f>
        <v>0</v>
      </c>
      <c r="E9" s="38">
        <f>'📝 Nhật Ký'!M6</f>
        <v>0</v>
      </c>
      <c r="F9" s="39">
        <f>'📝 Nhật Ký'!N6</f>
        <v>0</v>
      </c>
      <c r="G9" s="40">
        <f>'📝 Nhật Ký'!P6</f>
        <v>4000</v>
      </c>
      <c r="H9" s="41">
        <f>IFERROR((G9-MAX($G$5:G9))/MAX($G$5:G9),0)</f>
        <v>-0.1111111111111111</v>
      </c>
    </row>
    <row r="10" spans="2:8" ht="16" customHeight="1" x14ac:dyDescent="0.2">
      <c r="B10" s="35">
        <v>6</v>
      </c>
      <c r="C10" s="36">
        <f>'📝 Nhật Ký'!C7</f>
        <v>0</v>
      </c>
      <c r="D10" s="37">
        <f>'📝 Nhật Ký'!D7</f>
        <v>0</v>
      </c>
      <c r="E10" s="38">
        <f>'📝 Nhật Ký'!M7</f>
        <v>0</v>
      </c>
      <c r="F10" s="39">
        <f>'📝 Nhật Ký'!N7</f>
        <v>0</v>
      </c>
      <c r="G10" s="40">
        <f>'📝 Nhật Ký'!P7</f>
        <v>4000</v>
      </c>
      <c r="H10" s="41">
        <f>IFERROR((G10-MAX($G$5:G10))/MAX($G$5:G10),0)</f>
        <v>-0.1111111111111111</v>
      </c>
    </row>
    <row r="11" spans="2:8" ht="16" customHeight="1" x14ac:dyDescent="0.2">
      <c r="B11" s="35">
        <v>7</v>
      </c>
      <c r="C11" s="36">
        <f>'📝 Nhật Ký'!C8</f>
        <v>0</v>
      </c>
      <c r="D11" s="37">
        <f>'📝 Nhật Ký'!D8</f>
        <v>0</v>
      </c>
      <c r="E11" s="38">
        <f>'📝 Nhật Ký'!M8</f>
        <v>0</v>
      </c>
      <c r="F11" s="39">
        <f>'📝 Nhật Ký'!N8</f>
        <v>0</v>
      </c>
      <c r="G11" s="40">
        <f>'📝 Nhật Ký'!P8</f>
        <v>4000</v>
      </c>
      <c r="H11" s="41">
        <f>IFERROR((G11-MAX($G$5:G11))/MAX($G$5:G11),0)</f>
        <v>-0.1111111111111111</v>
      </c>
    </row>
    <row r="12" spans="2:8" ht="16" customHeight="1" x14ac:dyDescent="0.2">
      <c r="B12" s="35">
        <v>8</v>
      </c>
      <c r="C12" s="36">
        <f>'📝 Nhật Ký'!C9</f>
        <v>0</v>
      </c>
      <c r="D12" s="37">
        <f>'📝 Nhật Ký'!D9</f>
        <v>0</v>
      </c>
      <c r="E12" s="38">
        <f>'📝 Nhật Ký'!M9</f>
        <v>0</v>
      </c>
      <c r="F12" s="39">
        <f>'📝 Nhật Ký'!N9</f>
        <v>0</v>
      </c>
      <c r="G12" s="40">
        <f>'📝 Nhật Ký'!P9</f>
        <v>4000</v>
      </c>
      <c r="H12" s="41">
        <f>IFERROR((G12-MAX($G$5:G12))/MAX($G$5:G12),0)</f>
        <v>-0.1111111111111111</v>
      </c>
    </row>
    <row r="13" spans="2:8" ht="16" customHeight="1" x14ac:dyDescent="0.2">
      <c r="B13" s="35">
        <v>9</v>
      </c>
      <c r="C13" s="36">
        <f>'📝 Nhật Ký'!C10</f>
        <v>0</v>
      </c>
      <c r="D13" s="37">
        <f>'📝 Nhật Ký'!D10</f>
        <v>0</v>
      </c>
      <c r="E13" s="38">
        <f>'📝 Nhật Ký'!M10</f>
        <v>0</v>
      </c>
      <c r="F13" s="39">
        <f>'📝 Nhật Ký'!N10</f>
        <v>0</v>
      </c>
      <c r="G13" s="40">
        <f>'📝 Nhật Ký'!P10</f>
        <v>4000</v>
      </c>
      <c r="H13" s="41">
        <f>IFERROR((G13-MAX($G$5:G13))/MAX($G$5:G13),0)</f>
        <v>-0.1111111111111111</v>
      </c>
    </row>
    <row r="14" spans="2:8" ht="16" customHeight="1" x14ac:dyDescent="0.2">
      <c r="B14" s="35">
        <v>10</v>
      </c>
      <c r="C14" s="36">
        <f>'📝 Nhật Ký'!C11</f>
        <v>0</v>
      </c>
      <c r="D14" s="37">
        <f>'📝 Nhật Ký'!D11</f>
        <v>0</v>
      </c>
      <c r="E14" s="38">
        <f>'📝 Nhật Ký'!M11</f>
        <v>0</v>
      </c>
      <c r="F14" s="39">
        <f>'📝 Nhật Ký'!N11</f>
        <v>0</v>
      </c>
      <c r="G14" s="40">
        <f>'📝 Nhật Ký'!P11</f>
        <v>4000</v>
      </c>
      <c r="H14" s="41">
        <f>IFERROR((G14-MAX($G$5:G14))/MAX($G$5:G14),0)</f>
        <v>-0.1111111111111111</v>
      </c>
    </row>
    <row r="15" spans="2:8" ht="16" customHeight="1" x14ac:dyDescent="0.2">
      <c r="B15" s="35">
        <v>11</v>
      </c>
      <c r="C15" s="36">
        <f>'📝 Nhật Ký'!C12</f>
        <v>0</v>
      </c>
      <c r="D15" s="37">
        <f>'📝 Nhật Ký'!D12</f>
        <v>0</v>
      </c>
      <c r="E15" s="38">
        <f>'📝 Nhật Ký'!M12</f>
        <v>0</v>
      </c>
      <c r="F15" s="39">
        <f>'📝 Nhật Ký'!N12</f>
        <v>0</v>
      </c>
      <c r="G15" s="40">
        <f>'📝 Nhật Ký'!P12</f>
        <v>4000</v>
      </c>
      <c r="H15" s="41">
        <f>IFERROR((G15-MAX($G$5:G15))/MAX($G$5:G15),0)</f>
        <v>-0.1111111111111111</v>
      </c>
    </row>
    <row r="16" spans="2:8" ht="16" customHeight="1" x14ac:dyDescent="0.2">
      <c r="B16" s="35">
        <v>12</v>
      </c>
      <c r="C16" s="36">
        <f>'📝 Nhật Ký'!C13</f>
        <v>0</v>
      </c>
      <c r="D16" s="37">
        <f>'📝 Nhật Ký'!D13</f>
        <v>0</v>
      </c>
      <c r="E16" s="38">
        <f>'📝 Nhật Ký'!M13</f>
        <v>0</v>
      </c>
      <c r="F16" s="39">
        <f>'📝 Nhật Ký'!N13</f>
        <v>0</v>
      </c>
      <c r="G16" s="40">
        <f>'📝 Nhật Ký'!P13</f>
        <v>4000</v>
      </c>
      <c r="H16" s="41">
        <f>IFERROR((G16-MAX($G$5:G16))/MAX($G$5:G16),0)</f>
        <v>-0.1111111111111111</v>
      </c>
    </row>
    <row r="17" spans="2:8" ht="16" customHeight="1" x14ac:dyDescent="0.2">
      <c r="B17" s="35">
        <v>13</v>
      </c>
      <c r="C17" s="36">
        <f>'📝 Nhật Ký'!C14</f>
        <v>0</v>
      </c>
      <c r="D17" s="37">
        <f>'📝 Nhật Ký'!D14</f>
        <v>0</v>
      </c>
      <c r="E17" s="38">
        <f>'📝 Nhật Ký'!M14</f>
        <v>0</v>
      </c>
      <c r="F17" s="39">
        <f>'📝 Nhật Ký'!N14</f>
        <v>0</v>
      </c>
      <c r="G17" s="40">
        <f>'📝 Nhật Ký'!P14</f>
        <v>4000</v>
      </c>
      <c r="H17" s="41">
        <f>IFERROR((G17-MAX($G$5:G17))/MAX($G$5:G17),0)</f>
        <v>-0.1111111111111111</v>
      </c>
    </row>
    <row r="18" spans="2:8" ht="16" customHeight="1" x14ac:dyDescent="0.2">
      <c r="B18" s="35">
        <v>14</v>
      </c>
      <c r="C18" s="36">
        <f>'📝 Nhật Ký'!C15</f>
        <v>0</v>
      </c>
      <c r="D18" s="37">
        <f>'📝 Nhật Ký'!D15</f>
        <v>0</v>
      </c>
      <c r="E18" s="38">
        <f>'📝 Nhật Ký'!M15</f>
        <v>0</v>
      </c>
      <c r="F18" s="39">
        <f>'📝 Nhật Ký'!N15</f>
        <v>0</v>
      </c>
      <c r="G18" s="40">
        <f>'📝 Nhật Ký'!P15</f>
        <v>4000</v>
      </c>
      <c r="H18" s="41">
        <f>IFERROR((G18-MAX($G$5:G18))/MAX($G$5:G18),0)</f>
        <v>-0.1111111111111111</v>
      </c>
    </row>
    <row r="19" spans="2:8" ht="16" customHeight="1" x14ac:dyDescent="0.2">
      <c r="B19" s="35">
        <v>15</v>
      </c>
      <c r="C19" s="36">
        <f>'📝 Nhật Ký'!C16</f>
        <v>0</v>
      </c>
      <c r="D19" s="37">
        <f>'📝 Nhật Ký'!D16</f>
        <v>0</v>
      </c>
      <c r="E19" s="38">
        <f>'📝 Nhật Ký'!M16</f>
        <v>0</v>
      </c>
      <c r="F19" s="39">
        <f>'📝 Nhật Ký'!N16</f>
        <v>0</v>
      </c>
      <c r="G19" s="40">
        <f>'📝 Nhật Ký'!P16</f>
        <v>4000</v>
      </c>
      <c r="H19" s="41">
        <f>IFERROR((G19-MAX($G$5:G19))/MAX($G$5:G19),0)</f>
        <v>-0.1111111111111111</v>
      </c>
    </row>
    <row r="20" spans="2:8" ht="16" customHeight="1" x14ac:dyDescent="0.2">
      <c r="B20" s="35">
        <v>16</v>
      </c>
      <c r="C20" s="36">
        <f>'📝 Nhật Ký'!C17</f>
        <v>0</v>
      </c>
      <c r="D20" s="37">
        <f>'📝 Nhật Ký'!D17</f>
        <v>0</v>
      </c>
      <c r="E20" s="38">
        <f>'📝 Nhật Ký'!M17</f>
        <v>0</v>
      </c>
      <c r="F20" s="39">
        <f>'📝 Nhật Ký'!N17</f>
        <v>0</v>
      </c>
      <c r="G20" s="40">
        <f>'📝 Nhật Ký'!P17</f>
        <v>4000</v>
      </c>
      <c r="H20" s="41">
        <f>IFERROR((G20-MAX($G$5:G20))/MAX($G$5:G20),0)</f>
        <v>-0.1111111111111111</v>
      </c>
    </row>
    <row r="21" spans="2:8" ht="16" customHeight="1" x14ac:dyDescent="0.2">
      <c r="B21" s="35">
        <v>17</v>
      </c>
      <c r="C21" s="36">
        <f>'📝 Nhật Ký'!C18</f>
        <v>0</v>
      </c>
      <c r="D21" s="37">
        <f>'📝 Nhật Ký'!D18</f>
        <v>0</v>
      </c>
      <c r="E21" s="38">
        <f>'📝 Nhật Ký'!M18</f>
        <v>0</v>
      </c>
      <c r="F21" s="39">
        <f>'📝 Nhật Ký'!N18</f>
        <v>0</v>
      </c>
      <c r="G21" s="40">
        <f>'📝 Nhật Ký'!P18</f>
        <v>4000</v>
      </c>
      <c r="H21" s="41">
        <f>IFERROR((G21-MAX($G$5:G21))/MAX($G$5:G21),0)</f>
        <v>-0.1111111111111111</v>
      </c>
    </row>
    <row r="22" spans="2:8" ht="16" customHeight="1" x14ac:dyDescent="0.2">
      <c r="B22" s="35">
        <v>18</v>
      </c>
      <c r="C22" s="36">
        <f>'📝 Nhật Ký'!C19</f>
        <v>0</v>
      </c>
      <c r="D22" s="37">
        <f>'📝 Nhật Ký'!D19</f>
        <v>0</v>
      </c>
      <c r="E22" s="38">
        <f>'📝 Nhật Ký'!M19</f>
        <v>0</v>
      </c>
      <c r="F22" s="39">
        <f>'📝 Nhật Ký'!N19</f>
        <v>0</v>
      </c>
      <c r="G22" s="40">
        <f>'📝 Nhật Ký'!P19</f>
        <v>4000</v>
      </c>
      <c r="H22" s="41">
        <f>IFERROR((G22-MAX($G$5:G22))/MAX($G$5:G22),0)</f>
        <v>-0.1111111111111111</v>
      </c>
    </row>
    <row r="23" spans="2:8" ht="16" customHeight="1" x14ac:dyDescent="0.2">
      <c r="B23" s="35">
        <v>19</v>
      </c>
      <c r="C23" s="36">
        <f>'📝 Nhật Ký'!C20</f>
        <v>0</v>
      </c>
      <c r="D23" s="37">
        <f>'📝 Nhật Ký'!D20</f>
        <v>0</v>
      </c>
      <c r="E23" s="38">
        <f>'📝 Nhật Ký'!M20</f>
        <v>0</v>
      </c>
      <c r="F23" s="39">
        <f>'📝 Nhật Ký'!N20</f>
        <v>0</v>
      </c>
      <c r="G23" s="40">
        <f>'📝 Nhật Ký'!P20</f>
        <v>4000</v>
      </c>
      <c r="H23" s="41">
        <f>IFERROR((G23-MAX($G$5:G23))/MAX($G$5:G23),0)</f>
        <v>-0.1111111111111111</v>
      </c>
    </row>
    <row r="24" spans="2:8" ht="16" customHeight="1" x14ac:dyDescent="0.2">
      <c r="B24" s="35">
        <v>20</v>
      </c>
      <c r="C24" s="36">
        <f>'📝 Nhật Ký'!C21</f>
        <v>0</v>
      </c>
      <c r="D24" s="37">
        <f>'📝 Nhật Ký'!D21</f>
        <v>0</v>
      </c>
      <c r="E24" s="38">
        <f>'📝 Nhật Ký'!M21</f>
        <v>0</v>
      </c>
      <c r="F24" s="39">
        <f>'📝 Nhật Ký'!N21</f>
        <v>0</v>
      </c>
      <c r="G24" s="40">
        <f>'📝 Nhật Ký'!P21</f>
        <v>4000</v>
      </c>
      <c r="H24" s="41">
        <f>IFERROR((G24-MAX($G$5:G24))/MAX($G$5:G24),0)</f>
        <v>-0.1111111111111111</v>
      </c>
    </row>
    <row r="25" spans="2:8" ht="16" customHeight="1" x14ac:dyDescent="0.2">
      <c r="B25" s="35">
        <v>21</v>
      </c>
      <c r="C25" s="36">
        <f>'📝 Nhật Ký'!C22</f>
        <v>0</v>
      </c>
      <c r="D25" s="37">
        <f>'📝 Nhật Ký'!D22</f>
        <v>0</v>
      </c>
      <c r="E25" s="38">
        <f>'📝 Nhật Ký'!M22</f>
        <v>0</v>
      </c>
      <c r="F25" s="39">
        <f>'📝 Nhật Ký'!N22</f>
        <v>0</v>
      </c>
      <c r="G25" s="40">
        <f>'📝 Nhật Ký'!P22</f>
        <v>4000</v>
      </c>
      <c r="H25" s="41">
        <f>IFERROR((G25-MAX($G$5:G25))/MAX($G$5:G25),0)</f>
        <v>-0.1111111111111111</v>
      </c>
    </row>
    <row r="26" spans="2:8" ht="16" customHeight="1" x14ac:dyDescent="0.2">
      <c r="B26" s="35">
        <v>22</v>
      </c>
      <c r="C26" s="36">
        <f>'📝 Nhật Ký'!C23</f>
        <v>0</v>
      </c>
      <c r="D26" s="37">
        <f>'📝 Nhật Ký'!D23</f>
        <v>0</v>
      </c>
      <c r="E26" s="38">
        <f>'📝 Nhật Ký'!M23</f>
        <v>0</v>
      </c>
      <c r="F26" s="39">
        <f>'📝 Nhật Ký'!N23</f>
        <v>0</v>
      </c>
      <c r="G26" s="40">
        <f>'📝 Nhật Ký'!P23</f>
        <v>4000</v>
      </c>
      <c r="H26" s="41">
        <f>IFERROR((G26-MAX($G$5:G26))/MAX($G$5:G26),0)</f>
        <v>-0.1111111111111111</v>
      </c>
    </row>
    <row r="27" spans="2:8" ht="16" customHeight="1" x14ac:dyDescent="0.2">
      <c r="B27" s="35">
        <v>23</v>
      </c>
      <c r="C27" s="36">
        <f>'📝 Nhật Ký'!C24</f>
        <v>0</v>
      </c>
      <c r="D27" s="37">
        <f>'📝 Nhật Ký'!D24</f>
        <v>0</v>
      </c>
      <c r="E27" s="38">
        <f>'📝 Nhật Ký'!M24</f>
        <v>0</v>
      </c>
      <c r="F27" s="39">
        <f>'📝 Nhật Ký'!N24</f>
        <v>0</v>
      </c>
      <c r="G27" s="40">
        <f>'📝 Nhật Ký'!P24</f>
        <v>4000</v>
      </c>
      <c r="H27" s="41">
        <f>IFERROR((G27-MAX($G$5:G27))/MAX($G$5:G27),0)</f>
        <v>-0.1111111111111111</v>
      </c>
    </row>
    <row r="28" spans="2:8" ht="16" customHeight="1" x14ac:dyDescent="0.2">
      <c r="B28" s="35">
        <v>24</v>
      </c>
      <c r="C28" s="36">
        <f>'📝 Nhật Ký'!C25</f>
        <v>0</v>
      </c>
      <c r="D28" s="37">
        <f>'📝 Nhật Ký'!D25</f>
        <v>0</v>
      </c>
      <c r="E28" s="38">
        <f>'📝 Nhật Ký'!M25</f>
        <v>0</v>
      </c>
      <c r="F28" s="39">
        <f>'📝 Nhật Ký'!N25</f>
        <v>0</v>
      </c>
      <c r="G28" s="40">
        <f>'📝 Nhật Ký'!P25</f>
        <v>4000</v>
      </c>
      <c r="H28" s="41">
        <f>IFERROR((G28-MAX($G$5:G28))/MAX($G$5:G28),0)</f>
        <v>-0.1111111111111111</v>
      </c>
    </row>
    <row r="29" spans="2:8" ht="16" customHeight="1" x14ac:dyDescent="0.2">
      <c r="B29" s="35">
        <v>25</v>
      </c>
      <c r="C29" s="36">
        <f>'📝 Nhật Ký'!C26</f>
        <v>0</v>
      </c>
      <c r="D29" s="37">
        <f>'📝 Nhật Ký'!D26</f>
        <v>0</v>
      </c>
      <c r="E29" s="38">
        <f>'📝 Nhật Ký'!M26</f>
        <v>0</v>
      </c>
      <c r="F29" s="39">
        <f>'📝 Nhật Ký'!N26</f>
        <v>0</v>
      </c>
      <c r="G29" s="40">
        <f>'📝 Nhật Ký'!P26</f>
        <v>4000</v>
      </c>
      <c r="H29" s="41">
        <f>IFERROR((G29-MAX($G$5:G29))/MAX($G$5:G29),0)</f>
        <v>-0.1111111111111111</v>
      </c>
    </row>
    <row r="30" spans="2:8" ht="16" customHeight="1" x14ac:dyDescent="0.2">
      <c r="B30" s="35">
        <v>26</v>
      </c>
      <c r="C30" s="36">
        <f>'📝 Nhật Ký'!C27</f>
        <v>0</v>
      </c>
      <c r="D30" s="37">
        <f>'📝 Nhật Ký'!D27</f>
        <v>0</v>
      </c>
      <c r="E30" s="38">
        <f>'📝 Nhật Ký'!M27</f>
        <v>0</v>
      </c>
      <c r="F30" s="39">
        <f>'📝 Nhật Ký'!N27</f>
        <v>0</v>
      </c>
      <c r="G30" s="40">
        <f>'📝 Nhật Ký'!P27</f>
        <v>4000</v>
      </c>
      <c r="H30" s="41">
        <f>IFERROR((G30-MAX($G$5:G30))/MAX($G$5:G30),0)</f>
        <v>-0.1111111111111111</v>
      </c>
    </row>
    <row r="31" spans="2:8" ht="16" customHeight="1" x14ac:dyDescent="0.2">
      <c r="B31" s="35">
        <v>27</v>
      </c>
      <c r="C31" s="36">
        <f>'📝 Nhật Ký'!C28</f>
        <v>0</v>
      </c>
      <c r="D31" s="37">
        <f>'📝 Nhật Ký'!D28</f>
        <v>0</v>
      </c>
      <c r="E31" s="38">
        <f>'📝 Nhật Ký'!M28</f>
        <v>0</v>
      </c>
      <c r="F31" s="39">
        <f>'📝 Nhật Ký'!N28</f>
        <v>0</v>
      </c>
      <c r="G31" s="40">
        <f>'📝 Nhật Ký'!P28</f>
        <v>4000</v>
      </c>
      <c r="H31" s="41">
        <f>IFERROR((G31-MAX($G$5:G31))/MAX($G$5:G31),0)</f>
        <v>-0.1111111111111111</v>
      </c>
    </row>
    <row r="32" spans="2:8" ht="16" customHeight="1" x14ac:dyDescent="0.2">
      <c r="B32" s="35">
        <v>28</v>
      </c>
      <c r="C32" s="36">
        <f>'📝 Nhật Ký'!C29</f>
        <v>0</v>
      </c>
      <c r="D32" s="37">
        <f>'📝 Nhật Ký'!D29</f>
        <v>0</v>
      </c>
      <c r="E32" s="38">
        <f>'📝 Nhật Ký'!M29</f>
        <v>0</v>
      </c>
      <c r="F32" s="39">
        <f>'📝 Nhật Ký'!N29</f>
        <v>0</v>
      </c>
      <c r="G32" s="40">
        <f>'📝 Nhật Ký'!P29</f>
        <v>4000</v>
      </c>
      <c r="H32" s="41">
        <f>IFERROR((G32-MAX($G$5:G32))/MAX($G$5:G32),0)</f>
        <v>-0.1111111111111111</v>
      </c>
    </row>
    <row r="33" spans="2:8" ht="16" customHeight="1" x14ac:dyDescent="0.2">
      <c r="B33" s="35">
        <v>29</v>
      </c>
      <c r="C33" s="36">
        <f>'📝 Nhật Ký'!C30</f>
        <v>0</v>
      </c>
      <c r="D33" s="37">
        <f>'📝 Nhật Ký'!D30</f>
        <v>0</v>
      </c>
      <c r="E33" s="38">
        <f>'📝 Nhật Ký'!M30</f>
        <v>0</v>
      </c>
      <c r="F33" s="39">
        <f>'📝 Nhật Ký'!N30</f>
        <v>0</v>
      </c>
      <c r="G33" s="40">
        <f>'📝 Nhật Ký'!P30</f>
        <v>4000</v>
      </c>
      <c r="H33" s="41">
        <f>IFERROR((G33-MAX($G$5:G33))/MAX($G$5:G33),0)</f>
        <v>-0.1111111111111111</v>
      </c>
    </row>
    <row r="34" spans="2:8" ht="16" customHeight="1" x14ac:dyDescent="0.2">
      <c r="B34" s="35">
        <v>30</v>
      </c>
      <c r="C34" s="36">
        <f>'📝 Nhật Ký'!C31</f>
        <v>0</v>
      </c>
      <c r="D34" s="37">
        <f>'📝 Nhật Ký'!D31</f>
        <v>0</v>
      </c>
      <c r="E34" s="38">
        <f>'📝 Nhật Ký'!M31</f>
        <v>0</v>
      </c>
      <c r="F34" s="39">
        <f>'📝 Nhật Ký'!N31</f>
        <v>0</v>
      </c>
      <c r="G34" s="40">
        <f>'📝 Nhật Ký'!P31</f>
        <v>4000</v>
      </c>
      <c r="H34" s="41">
        <f>IFERROR((G34-MAX($G$5:G34))/MAX($G$5:G34),0)</f>
        <v>-0.1111111111111111</v>
      </c>
    </row>
    <row r="35" spans="2:8" ht="16" customHeight="1" x14ac:dyDescent="0.2">
      <c r="B35" s="35">
        <v>31</v>
      </c>
      <c r="C35" s="36">
        <f>'📝 Nhật Ký'!C32</f>
        <v>0</v>
      </c>
      <c r="D35" s="37">
        <f>'📝 Nhật Ký'!D32</f>
        <v>0</v>
      </c>
      <c r="E35" s="38">
        <f>'📝 Nhật Ký'!M32</f>
        <v>0</v>
      </c>
      <c r="F35" s="39">
        <f>'📝 Nhật Ký'!N32</f>
        <v>0</v>
      </c>
      <c r="G35" s="40">
        <f>'📝 Nhật Ký'!P32</f>
        <v>4000</v>
      </c>
      <c r="H35" s="41">
        <f>IFERROR((G35-MAX($G$5:G35))/MAX($G$5:G35),0)</f>
        <v>-0.1111111111111111</v>
      </c>
    </row>
    <row r="36" spans="2:8" ht="16" customHeight="1" x14ac:dyDescent="0.2">
      <c r="B36" s="35">
        <v>32</v>
      </c>
      <c r="C36" s="36">
        <f>'📝 Nhật Ký'!C33</f>
        <v>0</v>
      </c>
      <c r="D36" s="37">
        <f>'📝 Nhật Ký'!D33</f>
        <v>0</v>
      </c>
      <c r="E36" s="38">
        <f>'📝 Nhật Ký'!M33</f>
        <v>0</v>
      </c>
      <c r="F36" s="39">
        <f>'📝 Nhật Ký'!N33</f>
        <v>0</v>
      </c>
      <c r="G36" s="40">
        <f>'📝 Nhật Ký'!P33</f>
        <v>4000</v>
      </c>
      <c r="H36" s="41">
        <f>IFERROR((G36-MAX($G$5:G36))/MAX($G$5:G36),0)</f>
        <v>-0.1111111111111111</v>
      </c>
    </row>
    <row r="37" spans="2:8" ht="16" customHeight="1" x14ac:dyDescent="0.2">
      <c r="B37" s="35">
        <v>33</v>
      </c>
      <c r="C37" s="36">
        <f>'📝 Nhật Ký'!C34</f>
        <v>0</v>
      </c>
      <c r="D37" s="37">
        <f>'📝 Nhật Ký'!D34</f>
        <v>0</v>
      </c>
      <c r="E37" s="38">
        <f>'📝 Nhật Ký'!M34</f>
        <v>0</v>
      </c>
      <c r="F37" s="39">
        <f>'📝 Nhật Ký'!N34</f>
        <v>0</v>
      </c>
      <c r="G37" s="40">
        <f>'📝 Nhật Ký'!P34</f>
        <v>4000</v>
      </c>
      <c r="H37" s="41">
        <f>IFERROR((G37-MAX($G$5:G37))/MAX($G$5:G37),0)</f>
        <v>-0.1111111111111111</v>
      </c>
    </row>
    <row r="38" spans="2:8" ht="16" customHeight="1" x14ac:dyDescent="0.2">
      <c r="B38" s="35">
        <v>34</v>
      </c>
      <c r="C38" s="36">
        <f>'📝 Nhật Ký'!C35</f>
        <v>0</v>
      </c>
      <c r="D38" s="37">
        <f>'📝 Nhật Ký'!D35</f>
        <v>0</v>
      </c>
      <c r="E38" s="38">
        <f>'📝 Nhật Ký'!M35</f>
        <v>0</v>
      </c>
      <c r="F38" s="39">
        <f>'📝 Nhật Ký'!N35</f>
        <v>0</v>
      </c>
      <c r="G38" s="40">
        <f>'📝 Nhật Ký'!P35</f>
        <v>4000</v>
      </c>
      <c r="H38" s="41">
        <f>IFERROR((G38-MAX($G$5:G38))/MAX($G$5:G38),0)</f>
        <v>-0.1111111111111111</v>
      </c>
    </row>
    <row r="39" spans="2:8" ht="16" customHeight="1" x14ac:dyDescent="0.2">
      <c r="B39" s="35">
        <v>35</v>
      </c>
      <c r="C39" s="36">
        <f>'📝 Nhật Ký'!C36</f>
        <v>0</v>
      </c>
      <c r="D39" s="37">
        <f>'📝 Nhật Ký'!D36</f>
        <v>0</v>
      </c>
      <c r="E39" s="38">
        <f>'📝 Nhật Ký'!M36</f>
        <v>0</v>
      </c>
      <c r="F39" s="39">
        <f>'📝 Nhật Ký'!N36</f>
        <v>0</v>
      </c>
      <c r="G39" s="40">
        <f>'📝 Nhật Ký'!P36</f>
        <v>4000</v>
      </c>
      <c r="H39" s="41">
        <f>IFERROR((G39-MAX($G$5:G39))/MAX($G$5:G39),0)</f>
        <v>-0.1111111111111111</v>
      </c>
    </row>
    <row r="40" spans="2:8" ht="16" customHeight="1" x14ac:dyDescent="0.2">
      <c r="B40" s="35">
        <v>36</v>
      </c>
      <c r="C40" s="36">
        <f>'📝 Nhật Ký'!C37</f>
        <v>0</v>
      </c>
      <c r="D40" s="37">
        <f>'📝 Nhật Ký'!D37</f>
        <v>0</v>
      </c>
      <c r="E40" s="38">
        <f>'📝 Nhật Ký'!M37</f>
        <v>0</v>
      </c>
      <c r="F40" s="39">
        <f>'📝 Nhật Ký'!N37</f>
        <v>0</v>
      </c>
      <c r="G40" s="40">
        <f>'📝 Nhật Ký'!P37</f>
        <v>4000</v>
      </c>
      <c r="H40" s="41">
        <f>IFERROR((G40-MAX($G$5:G40))/MAX($G$5:G40),0)</f>
        <v>-0.1111111111111111</v>
      </c>
    </row>
    <row r="41" spans="2:8" ht="16" customHeight="1" x14ac:dyDescent="0.2">
      <c r="B41" s="35">
        <v>37</v>
      </c>
      <c r="C41" s="36">
        <f>'📝 Nhật Ký'!C38</f>
        <v>0</v>
      </c>
      <c r="D41" s="37">
        <f>'📝 Nhật Ký'!D38</f>
        <v>0</v>
      </c>
      <c r="E41" s="38">
        <f>'📝 Nhật Ký'!M38</f>
        <v>0</v>
      </c>
      <c r="F41" s="39">
        <f>'📝 Nhật Ký'!N38</f>
        <v>0</v>
      </c>
      <c r="G41" s="40">
        <f>'📝 Nhật Ký'!P38</f>
        <v>4000</v>
      </c>
      <c r="H41" s="41">
        <f>IFERROR((G41-MAX($G$5:G41))/MAX($G$5:G41),0)</f>
        <v>-0.1111111111111111</v>
      </c>
    </row>
    <row r="42" spans="2:8" ht="16" customHeight="1" x14ac:dyDescent="0.2">
      <c r="B42" s="35">
        <v>38</v>
      </c>
      <c r="C42" s="36">
        <f>'📝 Nhật Ký'!C39</f>
        <v>0</v>
      </c>
      <c r="D42" s="37">
        <f>'📝 Nhật Ký'!D39</f>
        <v>0</v>
      </c>
      <c r="E42" s="38">
        <f>'📝 Nhật Ký'!M39</f>
        <v>0</v>
      </c>
      <c r="F42" s="39">
        <f>'📝 Nhật Ký'!N39</f>
        <v>0</v>
      </c>
      <c r="G42" s="40">
        <f>'📝 Nhật Ký'!P39</f>
        <v>4000</v>
      </c>
      <c r="H42" s="41">
        <f>IFERROR((G42-MAX($G$5:G42))/MAX($G$5:G42),0)</f>
        <v>-0.1111111111111111</v>
      </c>
    </row>
    <row r="43" spans="2:8" ht="16" customHeight="1" x14ac:dyDescent="0.2">
      <c r="B43" s="35">
        <v>39</v>
      </c>
      <c r="C43" s="36">
        <f>'📝 Nhật Ký'!C40</f>
        <v>0</v>
      </c>
      <c r="D43" s="37">
        <f>'📝 Nhật Ký'!D40</f>
        <v>0</v>
      </c>
      <c r="E43" s="38">
        <f>'📝 Nhật Ký'!M40</f>
        <v>0</v>
      </c>
      <c r="F43" s="39">
        <f>'📝 Nhật Ký'!N40</f>
        <v>0</v>
      </c>
      <c r="G43" s="40">
        <f>'📝 Nhật Ký'!P40</f>
        <v>4000</v>
      </c>
      <c r="H43" s="41">
        <f>IFERROR((G43-MAX($G$5:G43))/MAX($G$5:G43),0)</f>
        <v>-0.1111111111111111</v>
      </c>
    </row>
    <row r="44" spans="2:8" ht="16" customHeight="1" x14ac:dyDescent="0.2">
      <c r="B44" s="35">
        <v>40</v>
      </c>
      <c r="C44" s="36">
        <f>'📝 Nhật Ký'!C41</f>
        <v>0</v>
      </c>
      <c r="D44" s="37">
        <f>'📝 Nhật Ký'!D41</f>
        <v>0</v>
      </c>
      <c r="E44" s="38">
        <f>'📝 Nhật Ký'!M41</f>
        <v>0</v>
      </c>
      <c r="F44" s="39">
        <f>'📝 Nhật Ký'!N41</f>
        <v>0</v>
      </c>
      <c r="G44" s="40">
        <f>'📝 Nhật Ký'!P41</f>
        <v>4000</v>
      </c>
      <c r="H44" s="41">
        <f>IFERROR((G44-MAX($G$5:G44))/MAX($G$5:G44),0)</f>
        <v>-0.1111111111111111</v>
      </c>
    </row>
    <row r="45" spans="2:8" ht="16" customHeight="1" x14ac:dyDescent="0.2">
      <c r="B45" s="35">
        <v>41</v>
      </c>
      <c r="C45" s="36">
        <f>'📝 Nhật Ký'!C42</f>
        <v>0</v>
      </c>
      <c r="D45" s="37">
        <f>'📝 Nhật Ký'!D42</f>
        <v>0</v>
      </c>
      <c r="E45" s="38">
        <f>'📝 Nhật Ký'!M42</f>
        <v>0</v>
      </c>
      <c r="F45" s="39">
        <f>'📝 Nhật Ký'!N42</f>
        <v>0</v>
      </c>
      <c r="G45" s="40">
        <f>'📝 Nhật Ký'!P42</f>
        <v>4000</v>
      </c>
      <c r="H45" s="41">
        <f>IFERROR((G45-MAX($G$5:G45))/MAX($G$5:G45),0)</f>
        <v>-0.1111111111111111</v>
      </c>
    </row>
    <row r="46" spans="2:8" ht="16" customHeight="1" x14ac:dyDescent="0.2">
      <c r="B46" s="35">
        <v>42</v>
      </c>
      <c r="C46" s="36">
        <f>'📝 Nhật Ký'!C43</f>
        <v>0</v>
      </c>
      <c r="D46" s="37">
        <f>'📝 Nhật Ký'!D43</f>
        <v>0</v>
      </c>
      <c r="E46" s="38">
        <f>'📝 Nhật Ký'!M43</f>
        <v>0</v>
      </c>
      <c r="F46" s="39">
        <f>'📝 Nhật Ký'!N43</f>
        <v>0</v>
      </c>
      <c r="G46" s="40">
        <f>'📝 Nhật Ký'!P43</f>
        <v>4000</v>
      </c>
      <c r="H46" s="41">
        <f>IFERROR((G46-MAX($G$5:G46))/MAX($G$5:G46),0)</f>
        <v>-0.1111111111111111</v>
      </c>
    </row>
    <row r="47" spans="2:8" ht="16" customHeight="1" x14ac:dyDescent="0.2">
      <c r="B47" s="35">
        <v>43</v>
      </c>
      <c r="C47" s="36">
        <f>'📝 Nhật Ký'!C44</f>
        <v>0</v>
      </c>
      <c r="D47" s="37">
        <f>'📝 Nhật Ký'!D44</f>
        <v>0</v>
      </c>
      <c r="E47" s="38">
        <f>'📝 Nhật Ký'!M44</f>
        <v>0</v>
      </c>
      <c r="F47" s="39">
        <f>'📝 Nhật Ký'!N44</f>
        <v>0</v>
      </c>
      <c r="G47" s="40">
        <f>'📝 Nhật Ký'!P44</f>
        <v>4000</v>
      </c>
      <c r="H47" s="41">
        <f>IFERROR((G47-MAX($G$5:G47))/MAX($G$5:G47),0)</f>
        <v>-0.1111111111111111</v>
      </c>
    </row>
    <row r="48" spans="2:8" ht="16" customHeight="1" x14ac:dyDescent="0.2">
      <c r="B48" s="35">
        <v>44</v>
      </c>
      <c r="C48" s="36">
        <f>'📝 Nhật Ký'!C45</f>
        <v>0</v>
      </c>
      <c r="D48" s="37">
        <f>'📝 Nhật Ký'!D45</f>
        <v>0</v>
      </c>
      <c r="E48" s="38">
        <f>'📝 Nhật Ký'!M45</f>
        <v>0</v>
      </c>
      <c r="F48" s="39">
        <f>'📝 Nhật Ký'!N45</f>
        <v>0</v>
      </c>
      <c r="G48" s="40">
        <f>'📝 Nhật Ký'!P45</f>
        <v>4000</v>
      </c>
      <c r="H48" s="41">
        <f>IFERROR((G48-MAX($G$5:G48))/MAX($G$5:G48),0)</f>
        <v>-0.1111111111111111</v>
      </c>
    </row>
    <row r="49" spans="2:8" ht="16" customHeight="1" x14ac:dyDescent="0.2">
      <c r="B49" s="35">
        <v>45</v>
      </c>
      <c r="C49" s="36">
        <f>'📝 Nhật Ký'!C46</f>
        <v>0</v>
      </c>
      <c r="D49" s="37">
        <f>'📝 Nhật Ký'!D46</f>
        <v>0</v>
      </c>
      <c r="E49" s="38">
        <f>'📝 Nhật Ký'!M46</f>
        <v>0</v>
      </c>
      <c r="F49" s="39">
        <f>'📝 Nhật Ký'!N46</f>
        <v>0</v>
      </c>
      <c r="G49" s="40">
        <f>'📝 Nhật Ký'!P46</f>
        <v>4000</v>
      </c>
      <c r="H49" s="41">
        <f>IFERROR((G49-MAX($G$5:G49))/MAX($G$5:G49),0)</f>
        <v>-0.1111111111111111</v>
      </c>
    </row>
    <row r="50" spans="2:8" ht="16" customHeight="1" x14ac:dyDescent="0.2">
      <c r="B50" s="35">
        <v>46</v>
      </c>
      <c r="C50" s="36">
        <f>'📝 Nhật Ký'!C47</f>
        <v>0</v>
      </c>
      <c r="D50" s="37">
        <f>'📝 Nhật Ký'!D47</f>
        <v>0</v>
      </c>
      <c r="E50" s="38">
        <f>'📝 Nhật Ký'!M47</f>
        <v>0</v>
      </c>
      <c r="F50" s="39">
        <f>'📝 Nhật Ký'!N47</f>
        <v>0</v>
      </c>
      <c r="G50" s="40">
        <f>'📝 Nhật Ký'!P47</f>
        <v>4000</v>
      </c>
      <c r="H50" s="41">
        <f>IFERROR((G50-MAX($G$5:G50))/MAX($G$5:G50),0)</f>
        <v>-0.1111111111111111</v>
      </c>
    </row>
    <row r="51" spans="2:8" ht="16" customHeight="1" x14ac:dyDescent="0.2">
      <c r="B51" s="35">
        <v>47</v>
      </c>
      <c r="C51" s="36">
        <f>'📝 Nhật Ký'!C48</f>
        <v>0</v>
      </c>
      <c r="D51" s="37">
        <f>'📝 Nhật Ký'!D48</f>
        <v>0</v>
      </c>
      <c r="E51" s="38">
        <f>'📝 Nhật Ký'!M48</f>
        <v>0</v>
      </c>
      <c r="F51" s="39">
        <f>'📝 Nhật Ký'!N48</f>
        <v>0</v>
      </c>
      <c r="G51" s="40">
        <f>'📝 Nhật Ký'!P48</f>
        <v>4000</v>
      </c>
      <c r="H51" s="41">
        <f>IFERROR((G51-MAX($G$5:G51))/MAX($G$5:G51),0)</f>
        <v>-0.1111111111111111</v>
      </c>
    </row>
    <row r="52" spans="2:8" ht="16" customHeight="1" x14ac:dyDescent="0.2">
      <c r="B52" s="35">
        <v>48</v>
      </c>
      <c r="C52" s="36">
        <f>'📝 Nhật Ký'!C49</f>
        <v>0</v>
      </c>
      <c r="D52" s="37">
        <f>'📝 Nhật Ký'!D49</f>
        <v>0</v>
      </c>
      <c r="E52" s="38">
        <f>'📝 Nhật Ký'!M49</f>
        <v>0</v>
      </c>
      <c r="F52" s="39">
        <f>'📝 Nhật Ký'!N49</f>
        <v>0</v>
      </c>
      <c r="G52" s="40">
        <f>'📝 Nhật Ký'!P49</f>
        <v>4000</v>
      </c>
      <c r="H52" s="41">
        <f>IFERROR((G52-MAX($G$5:G52))/MAX($G$5:G52),0)</f>
        <v>-0.1111111111111111</v>
      </c>
    </row>
    <row r="53" spans="2:8" ht="16" customHeight="1" x14ac:dyDescent="0.2">
      <c r="B53" s="35">
        <v>49</v>
      </c>
      <c r="C53" s="36">
        <f>'📝 Nhật Ký'!C50</f>
        <v>0</v>
      </c>
      <c r="D53" s="37">
        <f>'📝 Nhật Ký'!D50</f>
        <v>0</v>
      </c>
      <c r="E53" s="38">
        <f>'📝 Nhật Ký'!M50</f>
        <v>0</v>
      </c>
      <c r="F53" s="39">
        <f>'📝 Nhật Ký'!N50</f>
        <v>0</v>
      </c>
      <c r="G53" s="40">
        <f>'📝 Nhật Ký'!P50</f>
        <v>4000</v>
      </c>
      <c r="H53" s="41">
        <f>IFERROR((G53-MAX($G$5:G53))/MAX($G$5:G53),0)</f>
        <v>-0.1111111111111111</v>
      </c>
    </row>
    <row r="54" spans="2:8" ht="16" customHeight="1" x14ac:dyDescent="0.2">
      <c r="B54" s="35">
        <v>50</v>
      </c>
      <c r="C54" s="36">
        <f>'📝 Nhật Ký'!C51</f>
        <v>0</v>
      </c>
      <c r="D54" s="37">
        <f>'📝 Nhật Ký'!D51</f>
        <v>0</v>
      </c>
      <c r="E54" s="38">
        <f>'📝 Nhật Ký'!M51</f>
        <v>0</v>
      </c>
      <c r="F54" s="39">
        <f>'📝 Nhật Ký'!N51</f>
        <v>0</v>
      </c>
      <c r="G54" s="40">
        <f>'📝 Nhật Ký'!P51</f>
        <v>4000</v>
      </c>
      <c r="H54" s="41">
        <f>IFERROR((G54-MAX($G$5:G54))/MAX($G$5:G54),0)</f>
        <v>-0.1111111111111111</v>
      </c>
    </row>
    <row r="55" spans="2:8" ht="16" customHeight="1" x14ac:dyDescent="0.2">
      <c r="B55" s="35">
        <v>51</v>
      </c>
      <c r="C55" s="36">
        <f>'📝 Nhật Ký'!C52</f>
        <v>0</v>
      </c>
      <c r="D55" s="37">
        <f>'📝 Nhật Ký'!D52</f>
        <v>0</v>
      </c>
      <c r="E55" s="38">
        <f>'📝 Nhật Ký'!M52</f>
        <v>0</v>
      </c>
      <c r="F55" s="39">
        <f>'📝 Nhật Ký'!N52</f>
        <v>0</v>
      </c>
      <c r="G55" s="40">
        <f>'📝 Nhật Ký'!P52</f>
        <v>4000</v>
      </c>
      <c r="H55" s="41">
        <f>IFERROR((G55-MAX($G$5:G55))/MAX($G$5:G55),0)</f>
        <v>-0.1111111111111111</v>
      </c>
    </row>
    <row r="56" spans="2:8" ht="16" customHeight="1" x14ac:dyDescent="0.2">
      <c r="B56" s="35">
        <v>52</v>
      </c>
      <c r="C56" s="36">
        <f>'📝 Nhật Ký'!C53</f>
        <v>0</v>
      </c>
      <c r="D56" s="37">
        <f>'📝 Nhật Ký'!D53</f>
        <v>0</v>
      </c>
      <c r="E56" s="38">
        <f>'📝 Nhật Ký'!M53</f>
        <v>0</v>
      </c>
      <c r="F56" s="39">
        <f>'📝 Nhật Ký'!N53</f>
        <v>0</v>
      </c>
      <c r="G56" s="40">
        <f>'📝 Nhật Ký'!P53</f>
        <v>4000</v>
      </c>
      <c r="H56" s="41">
        <f>IFERROR((G56-MAX($G$5:G56))/MAX($G$5:G56),0)</f>
        <v>-0.1111111111111111</v>
      </c>
    </row>
    <row r="57" spans="2:8" ht="16" customHeight="1" x14ac:dyDescent="0.2">
      <c r="B57" s="35">
        <v>53</v>
      </c>
      <c r="C57" s="36">
        <f>'📝 Nhật Ký'!C54</f>
        <v>0</v>
      </c>
      <c r="D57" s="37">
        <f>'📝 Nhật Ký'!D54</f>
        <v>0</v>
      </c>
      <c r="E57" s="38">
        <f>'📝 Nhật Ký'!M54</f>
        <v>0</v>
      </c>
      <c r="F57" s="39">
        <f>'📝 Nhật Ký'!N54</f>
        <v>0</v>
      </c>
      <c r="G57" s="40">
        <f>'📝 Nhật Ký'!P54</f>
        <v>4000</v>
      </c>
      <c r="H57" s="41">
        <f>IFERROR((G57-MAX($G$5:G57))/MAX($G$5:G57),0)</f>
        <v>-0.1111111111111111</v>
      </c>
    </row>
    <row r="58" spans="2:8" ht="16" customHeight="1" x14ac:dyDescent="0.2">
      <c r="B58" s="35">
        <v>54</v>
      </c>
      <c r="C58" s="36">
        <f>'📝 Nhật Ký'!C55</f>
        <v>0</v>
      </c>
      <c r="D58" s="37">
        <f>'📝 Nhật Ký'!D55</f>
        <v>0</v>
      </c>
      <c r="E58" s="38">
        <f>'📝 Nhật Ký'!M55</f>
        <v>0</v>
      </c>
      <c r="F58" s="39">
        <f>'📝 Nhật Ký'!N55</f>
        <v>0</v>
      </c>
      <c r="G58" s="40">
        <f>'📝 Nhật Ký'!P55</f>
        <v>4000</v>
      </c>
      <c r="H58" s="41">
        <f>IFERROR((G58-MAX($G$5:G58))/MAX($G$5:G58),0)</f>
        <v>-0.1111111111111111</v>
      </c>
    </row>
    <row r="59" spans="2:8" ht="16" customHeight="1" x14ac:dyDescent="0.2">
      <c r="B59" s="35">
        <v>55</v>
      </c>
      <c r="C59" s="36">
        <f>'📝 Nhật Ký'!C56</f>
        <v>0</v>
      </c>
      <c r="D59" s="37">
        <f>'📝 Nhật Ký'!D56</f>
        <v>0</v>
      </c>
      <c r="E59" s="38">
        <f>'📝 Nhật Ký'!M56</f>
        <v>0</v>
      </c>
      <c r="F59" s="39">
        <f>'📝 Nhật Ký'!N56</f>
        <v>0</v>
      </c>
      <c r="G59" s="40">
        <f>'📝 Nhật Ký'!P56</f>
        <v>4000</v>
      </c>
      <c r="H59" s="41">
        <f>IFERROR((G59-MAX($G$5:G59))/MAX($G$5:G59),0)</f>
        <v>-0.1111111111111111</v>
      </c>
    </row>
    <row r="60" spans="2:8" ht="16" customHeight="1" x14ac:dyDescent="0.2">
      <c r="B60" s="35">
        <v>56</v>
      </c>
      <c r="C60" s="36">
        <f>'📝 Nhật Ký'!C57</f>
        <v>0</v>
      </c>
      <c r="D60" s="37">
        <f>'📝 Nhật Ký'!D57</f>
        <v>0</v>
      </c>
      <c r="E60" s="38">
        <f>'📝 Nhật Ký'!M57</f>
        <v>0</v>
      </c>
      <c r="F60" s="39">
        <f>'📝 Nhật Ký'!N57</f>
        <v>0</v>
      </c>
      <c r="G60" s="40">
        <f>'📝 Nhật Ký'!P57</f>
        <v>4000</v>
      </c>
      <c r="H60" s="41">
        <f>IFERROR((G60-MAX($G$5:G60))/MAX($G$5:G60),0)</f>
        <v>-0.1111111111111111</v>
      </c>
    </row>
    <row r="61" spans="2:8" ht="16" customHeight="1" x14ac:dyDescent="0.2">
      <c r="B61" s="35">
        <v>57</v>
      </c>
      <c r="C61" s="36">
        <f>'📝 Nhật Ký'!C58</f>
        <v>0</v>
      </c>
      <c r="D61" s="37">
        <f>'📝 Nhật Ký'!D58</f>
        <v>0</v>
      </c>
      <c r="E61" s="38">
        <f>'📝 Nhật Ký'!M58</f>
        <v>0</v>
      </c>
      <c r="F61" s="39">
        <f>'📝 Nhật Ký'!N58</f>
        <v>0</v>
      </c>
      <c r="G61" s="40">
        <f>'📝 Nhật Ký'!P58</f>
        <v>4000</v>
      </c>
      <c r="H61" s="41">
        <f>IFERROR((G61-MAX($G$5:G61))/MAX($G$5:G61),0)</f>
        <v>-0.1111111111111111</v>
      </c>
    </row>
    <row r="62" spans="2:8" ht="16" customHeight="1" x14ac:dyDescent="0.2">
      <c r="B62" s="35">
        <v>58</v>
      </c>
      <c r="C62" s="36">
        <f>'📝 Nhật Ký'!C59</f>
        <v>0</v>
      </c>
      <c r="D62" s="37">
        <f>'📝 Nhật Ký'!D59</f>
        <v>0</v>
      </c>
      <c r="E62" s="38">
        <f>'📝 Nhật Ký'!M59</f>
        <v>0</v>
      </c>
      <c r="F62" s="39">
        <f>'📝 Nhật Ký'!N59</f>
        <v>0</v>
      </c>
      <c r="G62" s="40">
        <f>'📝 Nhật Ký'!P59</f>
        <v>4000</v>
      </c>
      <c r="H62" s="41">
        <f>IFERROR((G62-MAX($G$5:G62))/MAX($G$5:G62),0)</f>
        <v>-0.1111111111111111</v>
      </c>
    </row>
    <row r="63" spans="2:8" ht="16" customHeight="1" x14ac:dyDescent="0.2">
      <c r="B63" s="35">
        <v>59</v>
      </c>
      <c r="C63" s="36">
        <f>'📝 Nhật Ký'!C60</f>
        <v>0</v>
      </c>
      <c r="D63" s="37">
        <f>'📝 Nhật Ký'!D60</f>
        <v>0</v>
      </c>
      <c r="E63" s="38">
        <f>'📝 Nhật Ký'!M60</f>
        <v>0</v>
      </c>
      <c r="F63" s="39">
        <f>'📝 Nhật Ký'!N60</f>
        <v>0</v>
      </c>
      <c r="G63" s="40">
        <f>'📝 Nhật Ký'!P60</f>
        <v>4000</v>
      </c>
      <c r="H63" s="41">
        <f>IFERROR((G63-MAX($G$5:G63))/MAX($G$5:G63),0)</f>
        <v>-0.1111111111111111</v>
      </c>
    </row>
    <row r="64" spans="2:8" ht="16" customHeight="1" x14ac:dyDescent="0.2">
      <c r="B64" s="35">
        <v>60</v>
      </c>
      <c r="C64" s="36">
        <f>'📝 Nhật Ký'!C61</f>
        <v>0</v>
      </c>
      <c r="D64" s="37">
        <f>'📝 Nhật Ký'!D61</f>
        <v>0</v>
      </c>
      <c r="E64" s="38">
        <f>'📝 Nhật Ký'!M61</f>
        <v>0</v>
      </c>
      <c r="F64" s="39">
        <f>'📝 Nhật Ký'!N61</f>
        <v>0</v>
      </c>
      <c r="G64" s="40">
        <f>'📝 Nhật Ký'!P61</f>
        <v>4000</v>
      </c>
      <c r="H64" s="41">
        <f>IFERROR((G64-MAX($G$5:G64))/MAX($G$5:G64),0)</f>
        <v>-0.1111111111111111</v>
      </c>
    </row>
    <row r="65" spans="2:8" ht="16" customHeight="1" x14ac:dyDescent="0.2">
      <c r="B65" s="35">
        <v>61</v>
      </c>
      <c r="C65" s="36">
        <f>'📝 Nhật Ký'!C62</f>
        <v>0</v>
      </c>
      <c r="D65" s="37">
        <f>'📝 Nhật Ký'!D62</f>
        <v>0</v>
      </c>
      <c r="E65" s="38">
        <f>'📝 Nhật Ký'!M62</f>
        <v>0</v>
      </c>
      <c r="F65" s="39">
        <f>'📝 Nhật Ký'!N62</f>
        <v>0</v>
      </c>
      <c r="G65" s="40">
        <f>'📝 Nhật Ký'!P62</f>
        <v>4000</v>
      </c>
      <c r="H65" s="41">
        <f>IFERROR((G65-MAX($G$5:G65))/MAX($G$5:G65),0)</f>
        <v>-0.1111111111111111</v>
      </c>
    </row>
    <row r="66" spans="2:8" ht="16" customHeight="1" x14ac:dyDescent="0.2">
      <c r="B66" s="35">
        <v>62</v>
      </c>
      <c r="C66" s="36">
        <f>'📝 Nhật Ký'!C63</f>
        <v>0</v>
      </c>
      <c r="D66" s="37">
        <f>'📝 Nhật Ký'!D63</f>
        <v>0</v>
      </c>
      <c r="E66" s="38">
        <f>'📝 Nhật Ký'!M63</f>
        <v>0</v>
      </c>
      <c r="F66" s="39">
        <f>'📝 Nhật Ký'!N63</f>
        <v>0</v>
      </c>
      <c r="G66" s="40">
        <f>'📝 Nhật Ký'!P63</f>
        <v>4000</v>
      </c>
      <c r="H66" s="41">
        <f>IFERROR((G66-MAX($G$5:G66))/MAX($G$5:G66),0)</f>
        <v>-0.1111111111111111</v>
      </c>
    </row>
    <row r="67" spans="2:8" ht="16" customHeight="1" x14ac:dyDescent="0.2">
      <c r="B67" s="35">
        <v>63</v>
      </c>
      <c r="C67" s="36">
        <f>'📝 Nhật Ký'!C64</f>
        <v>0</v>
      </c>
      <c r="D67" s="37">
        <f>'📝 Nhật Ký'!D64</f>
        <v>0</v>
      </c>
      <c r="E67" s="38">
        <f>'📝 Nhật Ký'!M64</f>
        <v>0</v>
      </c>
      <c r="F67" s="39">
        <f>'📝 Nhật Ký'!N64</f>
        <v>0</v>
      </c>
      <c r="G67" s="40">
        <f>'📝 Nhật Ký'!P64</f>
        <v>4000</v>
      </c>
      <c r="H67" s="41">
        <f>IFERROR((G67-MAX($G$5:G67))/MAX($G$5:G67),0)</f>
        <v>-0.1111111111111111</v>
      </c>
    </row>
    <row r="68" spans="2:8" ht="16" customHeight="1" x14ac:dyDescent="0.2">
      <c r="B68" s="35">
        <v>64</v>
      </c>
      <c r="C68" s="36">
        <f>'📝 Nhật Ký'!C65</f>
        <v>0</v>
      </c>
      <c r="D68" s="37">
        <f>'📝 Nhật Ký'!D65</f>
        <v>0</v>
      </c>
      <c r="E68" s="38">
        <f>'📝 Nhật Ký'!M65</f>
        <v>0</v>
      </c>
      <c r="F68" s="39">
        <f>'📝 Nhật Ký'!N65</f>
        <v>0</v>
      </c>
      <c r="G68" s="40">
        <f>'📝 Nhật Ký'!P65</f>
        <v>4000</v>
      </c>
      <c r="H68" s="41">
        <f>IFERROR((G68-MAX($G$5:G68))/MAX($G$5:G68),0)</f>
        <v>-0.1111111111111111</v>
      </c>
    </row>
    <row r="69" spans="2:8" ht="16" customHeight="1" x14ac:dyDescent="0.2">
      <c r="B69" s="35">
        <v>65</v>
      </c>
      <c r="C69" s="36">
        <f>'📝 Nhật Ký'!C66</f>
        <v>0</v>
      </c>
      <c r="D69" s="37">
        <f>'📝 Nhật Ký'!D66</f>
        <v>0</v>
      </c>
      <c r="E69" s="38">
        <f>'📝 Nhật Ký'!M66</f>
        <v>0</v>
      </c>
      <c r="F69" s="39">
        <f>'📝 Nhật Ký'!N66</f>
        <v>0</v>
      </c>
      <c r="G69" s="40">
        <f>'📝 Nhật Ký'!P66</f>
        <v>4000</v>
      </c>
      <c r="H69" s="41">
        <f>IFERROR((G69-MAX($G$5:G69))/MAX($G$5:G69),0)</f>
        <v>-0.1111111111111111</v>
      </c>
    </row>
    <row r="70" spans="2:8" ht="16" customHeight="1" x14ac:dyDescent="0.2">
      <c r="B70" s="35">
        <v>66</v>
      </c>
      <c r="C70" s="36">
        <f>'📝 Nhật Ký'!C67</f>
        <v>0</v>
      </c>
      <c r="D70" s="37">
        <f>'📝 Nhật Ký'!D67</f>
        <v>0</v>
      </c>
      <c r="E70" s="38">
        <f>'📝 Nhật Ký'!M67</f>
        <v>0</v>
      </c>
      <c r="F70" s="39">
        <f>'📝 Nhật Ký'!N67</f>
        <v>0</v>
      </c>
      <c r="G70" s="40">
        <f>'📝 Nhật Ký'!P67</f>
        <v>4000</v>
      </c>
      <c r="H70" s="41">
        <f>IFERROR((G70-MAX($G$5:G70))/MAX($G$5:G70),0)</f>
        <v>-0.1111111111111111</v>
      </c>
    </row>
    <row r="71" spans="2:8" ht="16" customHeight="1" x14ac:dyDescent="0.2">
      <c r="B71" s="35">
        <v>67</v>
      </c>
      <c r="C71" s="36">
        <f>'📝 Nhật Ký'!C68</f>
        <v>0</v>
      </c>
      <c r="D71" s="37">
        <f>'📝 Nhật Ký'!D68</f>
        <v>0</v>
      </c>
      <c r="E71" s="38">
        <f>'📝 Nhật Ký'!M68</f>
        <v>0</v>
      </c>
      <c r="F71" s="39">
        <f>'📝 Nhật Ký'!N68</f>
        <v>0</v>
      </c>
      <c r="G71" s="40">
        <f>'📝 Nhật Ký'!P68</f>
        <v>4000</v>
      </c>
      <c r="H71" s="41">
        <f>IFERROR((G71-MAX($G$5:G71))/MAX($G$5:G71),0)</f>
        <v>-0.1111111111111111</v>
      </c>
    </row>
    <row r="72" spans="2:8" ht="16" customHeight="1" x14ac:dyDescent="0.2">
      <c r="B72" s="35">
        <v>68</v>
      </c>
      <c r="C72" s="36">
        <f>'📝 Nhật Ký'!C69</f>
        <v>0</v>
      </c>
      <c r="D72" s="37">
        <f>'📝 Nhật Ký'!D69</f>
        <v>0</v>
      </c>
      <c r="E72" s="38">
        <f>'📝 Nhật Ký'!M69</f>
        <v>0</v>
      </c>
      <c r="F72" s="39">
        <f>'📝 Nhật Ký'!N69</f>
        <v>0</v>
      </c>
      <c r="G72" s="40">
        <f>'📝 Nhật Ký'!P69</f>
        <v>4000</v>
      </c>
      <c r="H72" s="41">
        <f>IFERROR((G72-MAX($G$5:G72))/MAX($G$5:G72),0)</f>
        <v>-0.1111111111111111</v>
      </c>
    </row>
    <row r="73" spans="2:8" ht="16" customHeight="1" x14ac:dyDescent="0.2">
      <c r="B73" s="35">
        <v>69</v>
      </c>
      <c r="C73" s="36">
        <f>'📝 Nhật Ký'!C70</f>
        <v>0</v>
      </c>
      <c r="D73" s="37">
        <f>'📝 Nhật Ký'!D70</f>
        <v>0</v>
      </c>
      <c r="E73" s="38">
        <f>'📝 Nhật Ký'!M70</f>
        <v>0</v>
      </c>
      <c r="F73" s="39">
        <f>'📝 Nhật Ký'!N70</f>
        <v>0</v>
      </c>
      <c r="G73" s="40">
        <f>'📝 Nhật Ký'!P70</f>
        <v>4000</v>
      </c>
      <c r="H73" s="41">
        <f>IFERROR((G73-MAX($G$5:G73))/MAX($G$5:G73),0)</f>
        <v>-0.1111111111111111</v>
      </c>
    </row>
    <row r="74" spans="2:8" ht="16" customHeight="1" x14ac:dyDescent="0.2">
      <c r="B74" s="35">
        <v>70</v>
      </c>
      <c r="C74" s="36">
        <f>'📝 Nhật Ký'!C71</f>
        <v>0</v>
      </c>
      <c r="D74" s="37">
        <f>'📝 Nhật Ký'!D71</f>
        <v>0</v>
      </c>
      <c r="E74" s="38">
        <f>'📝 Nhật Ký'!M71</f>
        <v>0</v>
      </c>
      <c r="F74" s="39">
        <f>'📝 Nhật Ký'!N71</f>
        <v>0</v>
      </c>
      <c r="G74" s="40">
        <f>'📝 Nhật Ký'!P71</f>
        <v>4000</v>
      </c>
      <c r="H74" s="41">
        <f>IFERROR((G74-MAX($G$5:G74))/MAX($G$5:G74),0)</f>
        <v>-0.1111111111111111</v>
      </c>
    </row>
    <row r="75" spans="2:8" ht="16" customHeight="1" x14ac:dyDescent="0.2">
      <c r="B75" s="35">
        <v>71</v>
      </c>
      <c r="C75" s="36">
        <f>'📝 Nhật Ký'!C72</f>
        <v>0</v>
      </c>
      <c r="D75" s="37">
        <f>'📝 Nhật Ký'!D72</f>
        <v>0</v>
      </c>
      <c r="E75" s="38">
        <f>'📝 Nhật Ký'!M72</f>
        <v>0</v>
      </c>
      <c r="F75" s="39">
        <f>'📝 Nhật Ký'!N72</f>
        <v>0</v>
      </c>
      <c r="G75" s="40">
        <f>'📝 Nhật Ký'!P72</f>
        <v>4000</v>
      </c>
      <c r="H75" s="41">
        <f>IFERROR((G75-MAX($G$5:G75))/MAX($G$5:G75),0)</f>
        <v>-0.1111111111111111</v>
      </c>
    </row>
    <row r="76" spans="2:8" ht="16" customHeight="1" x14ac:dyDescent="0.2">
      <c r="B76" s="35">
        <v>72</v>
      </c>
      <c r="C76" s="36">
        <f>'📝 Nhật Ký'!C73</f>
        <v>0</v>
      </c>
      <c r="D76" s="37">
        <f>'📝 Nhật Ký'!D73</f>
        <v>0</v>
      </c>
      <c r="E76" s="38">
        <f>'📝 Nhật Ký'!M73</f>
        <v>0</v>
      </c>
      <c r="F76" s="39">
        <f>'📝 Nhật Ký'!N73</f>
        <v>0</v>
      </c>
      <c r="G76" s="40">
        <f>'📝 Nhật Ký'!P73</f>
        <v>4000</v>
      </c>
      <c r="H76" s="41">
        <f>IFERROR((G76-MAX($G$5:G76))/MAX($G$5:G76),0)</f>
        <v>-0.1111111111111111</v>
      </c>
    </row>
    <row r="77" spans="2:8" ht="16" customHeight="1" x14ac:dyDescent="0.2">
      <c r="B77" s="35">
        <v>73</v>
      </c>
      <c r="C77" s="36">
        <f>'📝 Nhật Ký'!C74</f>
        <v>0</v>
      </c>
      <c r="D77" s="37">
        <f>'📝 Nhật Ký'!D74</f>
        <v>0</v>
      </c>
      <c r="E77" s="38">
        <f>'📝 Nhật Ký'!M74</f>
        <v>0</v>
      </c>
      <c r="F77" s="39">
        <f>'📝 Nhật Ký'!N74</f>
        <v>0</v>
      </c>
      <c r="G77" s="40">
        <f>'📝 Nhật Ký'!P74</f>
        <v>4000</v>
      </c>
      <c r="H77" s="41">
        <f>IFERROR((G77-MAX($G$5:G77))/MAX($G$5:G77),0)</f>
        <v>-0.1111111111111111</v>
      </c>
    </row>
    <row r="78" spans="2:8" ht="16" customHeight="1" x14ac:dyDescent="0.2">
      <c r="B78" s="35">
        <v>74</v>
      </c>
      <c r="C78" s="36">
        <f>'📝 Nhật Ký'!C75</f>
        <v>0</v>
      </c>
      <c r="D78" s="37">
        <f>'📝 Nhật Ký'!D75</f>
        <v>0</v>
      </c>
      <c r="E78" s="38">
        <f>'📝 Nhật Ký'!M75</f>
        <v>0</v>
      </c>
      <c r="F78" s="39">
        <f>'📝 Nhật Ký'!N75</f>
        <v>0</v>
      </c>
      <c r="G78" s="40">
        <f>'📝 Nhật Ký'!P75</f>
        <v>4000</v>
      </c>
      <c r="H78" s="41">
        <f>IFERROR((G78-MAX($G$5:G78))/MAX($G$5:G78),0)</f>
        <v>-0.1111111111111111</v>
      </c>
    </row>
    <row r="79" spans="2:8" ht="16" customHeight="1" x14ac:dyDescent="0.2">
      <c r="B79" s="35">
        <v>75</v>
      </c>
      <c r="C79" s="36">
        <f>'📝 Nhật Ký'!C76</f>
        <v>0</v>
      </c>
      <c r="D79" s="37">
        <f>'📝 Nhật Ký'!D76</f>
        <v>0</v>
      </c>
      <c r="E79" s="38">
        <f>'📝 Nhật Ký'!M76</f>
        <v>0</v>
      </c>
      <c r="F79" s="39">
        <f>'📝 Nhật Ký'!N76</f>
        <v>0</v>
      </c>
      <c r="G79" s="40">
        <f>'📝 Nhật Ký'!P76</f>
        <v>4000</v>
      </c>
      <c r="H79" s="41">
        <f>IFERROR((G79-MAX($G$5:G79))/MAX($G$5:G79),0)</f>
        <v>-0.1111111111111111</v>
      </c>
    </row>
    <row r="80" spans="2:8" ht="16" customHeight="1" x14ac:dyDescent="0.2">
      <c r="B80" s="35">
        <v>76</v>
      </c>
      <c r="C80" s="36">
        <f>'📝 Nhật Ký'!C77</f>
        <v>0</v>
      </c>
      <c r="D80" s="37">
        <f>'📝 Nhật Ký'!D77</f>
        <v>0</v>
      </c>
      <c r="E80" s="38">
        <f>'📝 Nhật Ký'!M77</f>
        <v>0</v>
      </c>
      <c r="F80" s="39">
        <f>'📝 Nhật Ký'!N77</f>
        <v>0</v>
      </c>
      <c r="G80" s="40">
        <f>'📝 Nhật Ký'!P77</f>
        <v>4000</v>
      </c>
      <c r="H80" s="41">
        <f>IFERROR((G80-MAX($G$5:G80))/MAX($G$5:G80),0)</f>
        <v>-0.1111111111111111</v>
      </c>
    </row>
    <row r="81" spans="2:8" ht="16" customHeight="1" x14ac:dyDescent="0.2">
      <c r="B81" s="35">
        <v>77</v>
      </c>
      <c r="C81" s="36">
        <f>'📝 Nhật Ký'!C78</f>
        <v>0</v>
      </c>
      <c r="D81" s="37">
        <f>'📝 Nhật Ký'!D78</f>
        <v>0</v>
      </c>
      <c r="E81" s="38">
        <f>'📝 Nhật Ký'!M78</f>
        <v>0</v>
      </c>
      <c r="F81" s="39">
        <f>'📝 Nhật Ký'!N78</f>
        <v>0</v>
      </c>
      <c r="G81" s="40">
        <f>'📝 Nhật Ký'!P78</f>
        <v>4000</v>
      </c>
      <c r="H81" s="41">
        <f>IFERROR((G81-MAX($G$5:G81))/MAX($G$5:G81),0)</f>
        <v>-0.1111111111111111</v>
      </c>
    </row>
    <row r="82" spans="2:8" ht="16" customHeight="1" x14ac:dyDescent="0.2">
      <c r="B82" s="35">
        <v>78</v>
      </c>
      <c r="C82" s="36">
        <f>'📝 Nhật Ký'!C79</f>
        <v>0</v>
      </c>
      <c r="D82" s="37">
        <f>'📝 Nhật Ký'!D79</f>
        <v>0</v>
      </c>
      <c r="E82" s="38">
        <f>'📝 Nhật Ký'!M79</f>
        <v>0</v>
      </c>
      <c r="F82" s="39">
        <f>'📝 Nhật Ký'!N79</f>
        <v>0</v>
      </c>
      <c r="G82" s="40">
        <f>'📝 Nhật Ký'!P79</f>
        <v>4000</v>
      </c>
      <c r="H82" s="41">
        <f>IFERROR((G82-MAX($G$5:G82))/MAX($G$5:G82),0)</f>
        <v>-0.1111111111111111</v>
      </c>
    </row>
    <row r="83" spans="2:8" ht="16" customHeight="1" x14ac:dyDescent="0.2">
      <c r="B83" s="35">
        <v>79</v>
      </c>
      <c r="C83" s="36">
        <f>'📝 Nhật Ký'!C80</f>
        <v>0</v>
      </c>
      <c r="D83" s="37">
        <f>'📝 Nhật Ký'!D80</f>
        <v>0</v>
      </c>
      <c r="E83" s="38">
        <f>'📝 Nhật Ký'!M80</f>
        <v>0</v>
      </c>
      <c r="F83" s="39">
        <f>'📝 Nhật Ký'!N80</f>
        <v>0</v>
      </c>
      <c r="G83" s="40">
        <f>'📝 Nhật Ký'!P80</f>
        <v>4000</v>
      </c>
      <c r="H83" s="41">
        <f>IFERROR((G83-MAX($G$5:G83))/MAX($G$5:G83),0)</f>
        <v>-0.1111111111111111</v>
      </c>
    </row>
    <row r="84" spans="2:8" ht="16" customHeight="1" x14ac:dyDescent="0.2">
      <c r="B84" s="35">
        <v>80</v>
      </c>
      <c r="C84" s="36">
        <f>'📝 Nhật Ký'!C81</f>
        <v>0</v>
      </c>
      <c r="D84" s="37">
        <f>'📝 Nhật Ký'!D81</f>
        <v>0</v>
      </c>
      <c r="E84" s="38">
        <f>'📝 Nhật Ký'!M81</f>
        <v>0</v>
      </c>
      <c r="F84" s="39">
        <f>'📝 Nhật Ký'!N81</f>
        <v>0</v>
      </c>
      <c r="G84" s="40">
        <f>'📝 Nhật Ký'!P81</f>
        <v>4000</v>
      </c>
      <c r="H84" s="41">
        <f>IFERROR((G84-MAX($G$5:G84))/MAX($G$5:G84),0)</f>
        <v>-0.1111111111111111</v>
      </c>
    </row>
    <row r="85" spans="2:8" ht="16" customHeight="1" x14ac:dyDescent="0.2">
      <c r="B85" s="35">
        <v>81</v>
      </c>
      <c r="C85" s="36">
        <f>'📝 Nhật Ký'!C82</f>
        <v>0</v>
      </c>
      <c r="D85" s="37">
        <f>'📝 Nhật Ký'!D82</f>
        <v>0</v>
      </c>
      <c r="E85" s="38">
        <f>'📝 Nhật Ký'!M82</f>
        <v>0</v>
      </c>
      <c r="F85" s="39">
        <f>'📝 Nhật Ký'!N82</f>
        <v>0</v>
      </c>
      <c r="G85" s="40">
        <f>'📝 Nhật Ký'!P82</f>
        <v>4000</v>
      </c>
      <c r="H85" s="41">
        <f>IFERROR((G85-MAX($G$5:G85))/MAX($G$5:G85),0)</f>
        <v>-0.1111111111111111</v>
      </c>
    </row>
    <row r="86" spans="2:8" ht="16" customHeight="1" x14ac:dyDescent="0.2">
      <c r="B86" s="35">
        <v>82</v>
      </c>
      <c r="C86" s="36">
        <f>'📝 Nhật Ký'!C83</f>
        <v>0</v>
      </c>
      <c r="D86" s="37">
        <f>'📝 Nhật Ký'!D83</f>
        <v>0</v>
      </c>
      <c r="E86" s="38">
        <f>'📝 Nhật Ký'!M83</f>
        <v>0</v>
      </c>
      <c r="F86" s="39">
        <f>'📝 Nhật Ký'!N83</f>
        <v>0</v>
      </c>
      <c r="G86" s="40">
        <f>'📝 Nhật Ký'!P83</f>
        <v>4000</v>
      </c>
      <c r="H86" s="41">
        <f>IFERROR((G86-MAX($G$5:G86))/MAX($G$5:G86),0)</f>
        <v>-0.1111111111111111</v>
      </c>
    </row>
    <row r="87" spans="2:8" ht="16" customHeight="1" x14ac:dyDescent="0.2">
      <c r="B87" s="35">
        <v>83</v>
      </c>
      <c r="C87" s="36">
        <f>'📝 Nhật Ký'!C84</f>
        <v>0</v>
      </c>
      <c r="D87" s="37">
        <f>'📝 Nhật Ký'!D84</f>
        <v>0</v>
      </c>
      <c r="E87" s="38">
        <f>'📝 Nhật Ký'!M84</f>
        <v>0</v>
      </c>
      <c r="F87" s="39">
        <f>'📝 Nhật Ký'!N84</f>
        <v>0</v>
      </c>
      <c r="G87" s="40">
        <f>'📝 Nhật Ký'!P84</f>
        <v>4000</v>
      </c>
      <c r="H87" s="41">
        <f>IFERROR((G87-MAX($G$5:G87))/MAX($G$5:G87),0)</f>
        <v>-0.1111111111111111</v>
      </c>
    </row>
    <row r="88" spans="2:8" ht="16" customHeight="1" x14ac:dyDescent="0.2">
      <c r="B88" s="35">
        <v>84</v>
      </c>
      <c r="C88" s="36">
        <f>'📝 Nhật Ký'!C85</f>
        <v>0</v>
      </c>
      <c r="D88" s="37">
        <f>'📝 Nhật Ký'!D85</f>
        <v>0</v>
      </c>
      <c r="E88" s="38">
        <f>'📝 Nhật Ký'!M85</f>
        <v>0</v>
      </c>
      <c r="F88" s="39">
        <f>'📝 Nhật Ký'!N85</f>
        <v>0</v>
      </c>
      <c r="G88" s="40">
        <f>'📝 Nhật Ký'!P85</f>
        <v>4000</v>
      </c>
      <c r="H88" s="41">
        <f>IFERROR((G88-MAX($G$5:G88))/MAX($G$5:G88),0)</f>
        <v>-0.1111111111111111</v>
      </c>
    </row>
    <row r="89" spans="2:8" ht="16" customHeight="1" x14ac:dyDescent="0.2">
      <c r="B89" s="35">
        <v>85</v>
      </c>
      <c r="C89" s="36">
        <f>'📝 Nhật Ký'!C86</f>
        <v>0</v>
      </c>
      <c r="D89" s="37">
        <f>'📝 Nhật Ký'!D86</f>
        <v>0</v>
      </c>
      <c r="E89" s="38">
        <f>'📝 Nhật Ký'!M86</f>
        <v>0</v>
      </c>
      <c r="F89" s="39">
        <f>'📝 Nhật Ký'!N86</f>
        <v>0</v>
      </c>
      <c r="G89" s="40">
        <f>'📝 Nhật Ký'!P86</f>
        <v>4000</v>
      </c>
      <c r="H89" s="41">
        <f>IFERROR((G89-MAX($G$5:G89))/MAX($G$5:G89),0)</f>
        <v>-0.1111111111111111</v>
      </c>
    </row>
    <row r="90" spans="2:8" ht="16" customHeight="1" x14ac:dyDescent="0.2">
      <c r="B90" s="35">
        <v>86</v>
      </c>
      <c r="C90" s="36">
        <f>'📝 Nhật Ký'!C87</f>
        <v>0</v>
      </c>
      <c r="D90" s="37">
        <f>'📝 Nhật Ký'!D87</f>
        <v>0</v>
      </c>
      <c r="E90" s="38">
        <f>'📝 Nhật Ký'!M87</f>
        <v>0</v>
      </c>
      <c r="F90" s="39">
        <f>'📝 Nhật Ký'!N87</f>
        <v>0</v>
      </c>
      <c r="G90" s="40">
        <f>'📝 Nhật Ký'!P87</f>
        <v>4000</v>
      </c>
      <c r="H90" s="41">
        <f>IFERROR((G90-MAX($G$5:G90))/MAX($G$5:G90),0)</f>
        <v>-0.1111111111111111</v>
      </c>
    </row>
    <row r="91" spans="2:8" ht="16" customHeight="1" x14ac:dyDescent="0.2">
      <c r="B91" s="35">
        <v>87</v>
      </c>
      <c r="C91" s="36">
        <f>'📝 Nhật Ký'!C88</f>
        <v>0</v>
      </c>
      <c r="D91" s="37">
        <f>'📝 Nhật Ký'!D88</f>
        <v>0</v>
      </c>
      <c r="E91" s="38">
        <f>'📝 Nhật Ký'!M88</f>
        <v>0</v>
      </c>
      <c r="F91" s="39">
        <f>'📝 Nhật Ký'!N88</f>
        <v>0</v>
      </c>
      <c r="G91" s="40">
        <f>'📝 Nhật Ký'!P88</f>
        <v>4000</v>
      </c>
      <c r="H91" s="41">
        <f>IFERROR((G91-MAX($G$5:G91))/MAX($G$5:G91),0)</f>
        <v>-0.1111111111111111</v>
      </c>
    </row>
    <row r="92" spans="2:8" ht="16" customHeight="1" x14ac:dyDescent="0.2">
      <c r="B92" s="35">
        <v>88</v>
      </c>
      <c r="C92" s="36">
        <f>'📝 Nhật Ký'!C89</f>
        <v>0</v>
      </c>
      <c r="D92" s="37">
        <f>'📝 Nhật Ký'!D89</f>
        <v>0</v>
      </c>
      <c r="E92" s="38">
        <f>'📝 Nhật Ký'!M89</f>
        <v>0</v>
      </c>
      <c r="F92" s="39">
        <f>'📝 Nhật Ký'!N89</f>
        <v>0</v>
      </c>
      <c r="G92" s="40">
        <f>'📝 Nhật Ký'!P89</f>
        <v>4000</v>
      </c>
      <c r="H92" s="41">
        <f>IFERROR((G92-MAX($G$5:G92))/MAX($G$5:G92),0)</f>
        <v>-0.1111111111111111</v>
      </c>
    </row>
    <row r="93" spans="2:8" ht="16" customHeight="1" x14ac:dyDescent="0.2">
      <c r="B93" s="35">
        <v>89</v>
      </c>
      <c r="C93" s="36">
        <f>'📝 Nhật Ký'!C90</f>
        <v>0</v>
      </c>
      <c r="D93" s="37">
        <f>'📝 Nhật Ký'!D90</f>
        <v>0</v>
      </c>
      <c r="E93" s="38">
        <f>'📝 Nhật Ký'!M90</f>
        <v>0</v>
      </c>
      <c r="F93" s="39">
        <f>'📝 Nhật Ký'!N90</f>
        <v>0</v>
      </c>
      <c r="G93" s="40">
        <f>'📝 Nhật Ký'!P90</f>
        <v>4000</v>
      </c>
      <c r="H93" s="41">
        <f>IFERROR((G93-MAX($G$5:G93))/MAX($G$5:G93),0)</f>
        <v>-0.1111111111111111</v>
      </c>
    </row>
    <row r="94" spans="2:8" ht="16" customHeight="1" x14ac:dyDescent="0.2">
      <c r="B94" s="35">
        <v>90</v>
      </c>
      <c r="C94" s="36">
        <f>'📝 Nhật Ký'!C91</f>
        <v>0</v>
      </c>
      <c r="D94" s="37">
        <f>'📝 Nhật Ký'!D91</f>
        <v>0</v>
      </c>
      <c r="E94" s="38">
        <f>'📝 Nhật Ký'!M91</f>
        <v>0</v>
      </c>
      <c r="F94" s="39">
        <f>'📝 Nhật Ký'!N91</f>
        <v>0</v>
      </c>
      <c r="G94" s="40">
        <f>'📝 Nhật Ký'!P91</f>
        <v>4000</v>
      </c>
      <c r="H94" s="41">
        <f>IFERROR((G94-MAX($G$5:G94))/MAX($G$5:G94),0)</f>
        <v>-0.1111111111111111</v>
      </c>
    </row>
    <row r="95" spans="2:8" ht="16" customHeight="1" x14ac:dyDescent="0.2">
      <c r="B95" s="35">
        <v>91</v>
      </c>
      <c r="C95" s="36">
        <f>'📝 Nhật Ký'!C92</f>
        <v>0</v>
      </c>
      <c r="D95" s="37">
        <f>'📝 Nhật Ký'!D92</f>
        <v>0</v>
      </c>
      <c r="E95" s="38">
        <f>'📝 Nhật Ký'!M92</f>
        <v>0</v>
      </c>
      <c r="F95" s="39">
        <f>'📝 Nhật Ký'!N92</f>
        <v>0</v>
      </c>
      <c r="G95" s="40">
        <f>'📝 Nhật Ký'!P92</f>
        <v>4000</v>
      </c>
      <c r="H95" s="41">
        <f>IFERROR((G95-MAX($G$5:G95))/MAX($G$5:G95),0)</f>
        <v>-0.1111111111111111</v>
      </c>
    </row>
    <row r="96" spans="2:8" ht="16" customHeight="1" x14ac:dyDescent="0.2">
      <c r="B96" s="35">
        <v>92</v>
      </c>
      <c r="C96" s="36">
        <f>'📝 Nhật Ký'!C93</f>
        <v>0</v>
      </c>
      <c r="D96" s="37">
        <f>'📝 Nhật Ký'!D93</f>
        <v>0</v>
      </c>
      <c r="E96" s="38">
        <f>'📝 Nhật Ký'!M93</f>
        <v>0</v>
      </c>
      <c r="F96" s="39">
        <f>'📝 Nhật Ký'!N93</f>
        <v>0</v>
      </c>
      <c r="G96" s="40">
        <f>'📝 Nhật Ký'!P93</f>
        <v>4000</v>
      </c>
      <c r="H96" s="41">
        <f>IFERROR((G96-MAX($G$5:G96))/MAX($G$5:G96),0)</f>
        <v>-0.1111111111111111</v>
      </c>
    </row>
    <row r="97" spans="2:8" ht="16" customHeight="1" x14ac:dyDescent="0.2">
      <c r="B97" s="35">
        <v>93</v>
      </c>
      <c r="C97" s="36">
        <f>'📝 Nhật Ký'!C94</f>
        <v>0</v>
      </c>
      <c r="D97" s="37">
        <f>'📝 Nhật Ký'!D94</f>
        <v>0</v>
      </c>
      <c r="E97" s="38">
        <f>'📝 Nhật Ký'!M94</f>
        <v>0</v>
      </c>
      <c r="F97" s="39">
        <f>'📝 Nhật Ký'!N94</f>
        <v>0</v>
      </c>
      <c r="G97" s="40">
        <f>'📝 Nhật Ký'!P94</f>
        <v>4000</v>
      </c>
      <c r="H97" s="41">
        <f>IFERROR((G97-MAX($G$5:G97))/MAX($G$5:G97),0)</f>
        <v>-0.1111111111111111</v>
      </c>
    </row>
    <row r="98" spans="2:8" ht="16" customHeight="1" x14ac:dyDescent="0.2">
      <c r="B98" s="35">
        <v>94</v>
      </c>
      <c r="C98" s="36">
        <f>'📝 Nhật Ký'!C95</f>
        <v>0</v>
      </c>
      <c r="D98" s="37">
        <f>'📝 Nhật Ký'!D95</f>
        <v>0</v>
      </c>
      <c r="E98" s="38">
        <f>'📝 Nhật Ký'!M95</f>
        <v>0</v>
      </c>
      <c r="F98" s="39">
        <f>'📝 Nhật Ký'!N95</f>
        <v>0</v>
      </c>
      <c r="G98" s="40">
        <f>'📝 Nhật Ký'!P95</f>
        <v>4000</v>
      </c>
      <c r="H98" s="41">
        <f>IFERROR((G98-MAX($G$5:G98))/MAX($G$5:G98),0)</f>
        <v>-0.1111111111111111</v>
      </c>
    </row>
    <row r="99" spans="2:8" ht="16" customHeight="1" x14ac:dyDescent="0.2">
      <c r="B99" s="35">
        <v>95</v>
      </c>
      <c r="C99" s="36">
        <f>'📝 Nhật Ký'!C96</f>
        <v>0</v>
      </c>
      <c r="D99" s="37">
        <f>'📝 Nhật Ký'!D96</f>
        <v>0</v>
      </c>
      <c r="E99" s="38">
        <f>'📝 Nhật Ký'!M96</f>
        <v>0</v>
      </c>
      <c r="F99" s="39">
        <f>'📝 Nhật Ký'!N96</f>
        <v>0</v>
      </c>
      <c r="G99" s="40">
        <f>'📝 Nhật Ký'!P96</f>
        <v>4000</v>
      </c>
      <c r="H99" s="41">
        <f>IFERROR((G99-MAX($G$5:G99))/MAX($G$5:G99),0)</f>
        <v>-0.1111111111111111</v>
      </c>
    </row>
    <row r="100" spans="2:8" ht="16" customHeight="1" x14ac:dyDescent="0.2">
      <c r="B100" s="35">
        <v>96</v>
      </c>
      <c r="C100" s="36">
        <f>'📝 Nhật Ký'!C97</f>
        <v>0</v>
      </c>
      <c r="D100" s="37">
        <f>'📝 Nhật Ký'!D97</f>
        <v>0</v>
      </c>
      <c r="E100" s="38">
        <f>'📝 Nhật Ký'!M97</f>
        <v>0</v>
      </c>
      <c r="F100" s="39">
        <f>'📝 Nhật Ký'!N97</f>
        <v>0</v>
      </c>
      <c r="G100" s="40">
        <f>'📝 Nhật Ký'!P97</f>
        <v>4000</v>
      </c>
      <c r="H100" s="41">
        <f>IFERROR((G100-MAX($G$5:G100))/MAX($G$5:G100),0)</f>
        <v>-0.1111111111111111</v>
      </c>
    </row>
    <row r="101" spans="2:8" ht="16" customHeight="1" x14ac:dyDescent="0.2">
      <c r="B101" s="35">
        <v>97</v>
      </c>
      <c r="C101" s="36">
        <f>'📝 Nhật Ký'!C98</f>
        <v>0</v>
      </c>
      <c r="D101" s="37">
        <f>'📝 Nhật Ký'!D98</f>
        <v>0</v>
      </c>
      <c r="E101" s="38">
        <f>'📝 Nhật Ký'!M98</f>
        <v>0</v>
      </c>
      <c r="F101" s="39">
        <f>'📝 Nhật Ký'!N98</f>
        <v>0</v>
      </c>
      <c r="G101" s="40">
        <f>'📝 Nhật Ký'!P98</f>
        <v>4000</v>
      </c>
      <c r="H101" s="41">
        <f>IFERROR((G101-MAX($G$5:G101))/MAX($G$5:G101),0)</f>
        <v>-0.1111111111111111</v>
      </c>
    </row>
    <row r="102" spans="2:8" ht="16" customHeight="1" x14ac:dyDescent="0.2">
      <c r="B102" s="35">
        <v>98</v>
      </c>
      <c r="C102" s="36">
        <f>'📝 Nhật Ký'!C99</f>
        <v>0</v>
      </c>
      <c r="D102" s="37">
        <f>'📝 Nhật Ký'!D99</f>
        <v>0</v>
      </c>
      <c r="E102" s="38">
        <f>'📝 Nhật Ký'!M99</f>
        <v>0</v>
      </c>
      <c r="F102" s="39">
        <f>'📝 Nhật Ký'!N99</f>
        <v>0</v>
      </c>
      <c r="G102" s="40">
        <f>'📝 Nhật Ký'!P99</f>
        <v>4000</v>
      </c>
      <c r="H102" s="41">
        <f>IFERROR((G102-MAX($G$5:G102))/MAX($G$5:G102),0)</f>
        <v>-0.1111111111111111</v>
      </c>
    </row>
    <row r="103" spans="2:8" ht="16" customHeight="1" x14ac:dyDescent="0.2">
      <c r="B103" s="35">
        <v>99</v>
      </c>
      <c r="C103" s="36">
        <f>'📝 Nhật Ký'!C100</f>
        <v>0</v>
      </c>
      <c r="D103" s="37">
        <f>'📝 Nhật Ký'!D100</f>
        <v>0</v>
      </c>
      <c r="E103" s="38">
        <f>'📝 Nhật Ký'!M100</f>
        <v>0</v>
      </c>
      <c r="F103" s="39">
        <f>'📝 Nhật Ký'!N100</f>
        <v>0</v>
      </c>
      <c r="G103" s="40">
        <f>'📝 Nhật Ký'!P100</f>
        <v>4000</v>
      </c>
      <c r="H103" s="41">
        <f>IFERROR((G103-MAX($G$5:G103))/MAX($G$5:G103),0)</f>
        <v>-0.1111111111111111</v>
      </c>
    </row>
    <row r="104" spans="2:8" ht="16" customHeight="1" x14ac:dyDescent="0.2">
      <c r="B104" s="35">
        <v>100</v>
      </c>
      <c r="C104" s="36">
        <f>'📝 Nhật Ký'!C101</f>
        <v>0</v>
      </c>
      <c r="D104" s="37">
        <f>'📝 Nhật Ký'!D101</f>
        <v>0</v>
      </c>
      <c r="E104" s="38">
        <f>'📝 Nhật Ký'!M101</f>
        <v>0</v>
      </c>
      <c r="F104" s="39">
        <f>'📝 Nhật Ký'!N101</f>
        <v>0</v>
      </c>
      <c r="G104" s="40">
        <f>'📝 Nhật Ký'!P101</f>
        <v>4000</v>
      </c>
      <c r="H104" s="41">
        <f>IFERROR((G104-MAX($G$5:G104))/MAX($G$5:G104),0)</f>
        <v>-0.1111111111111111</v>
      </c>
    </row>
    <row r="105" spans="2:8" ht="16" customHeight="1" x14ac:dyDescent="0.2">
      <c r="B105" s="35">
        <v>101</v>
      </c>
      <c r="C105" s="36">
        <f>'📝 Nhật Ký'!C102</f>
        <v>0</v>
      </c>
      <c r="D105" s="37">
        <f>'📝 Nhật Ký'!D102</f>
        <v>0</v>
      </c>
      <c r="E105" s="38">
        <f>'📝 Nhật Ký'!M102</f>
        <v>0</v>
      </c>
      <c r="F105" s="39">
        <f>'📝 Nhật Ký'!N102</f>
        <v>0</v>
      </c>
      <c r="G105" s="40">
        <f>'📝 Nhật Ký'!P102</f>
        <v>4000</v>
      </c>
      <c r="H105" s="41">
        <f>IFERROR((G105-MAX($G$5:G105))/MAX($G$5:G105),0)</f>
        <v>-0.1111111111111111</v>
      </c>
    </row>
    <row r="106" spans="2:8" ht="16" customHeight="1" x14ac:dyDescent="0.2">
      <c r="B106" s="35">
        <v>102</v>
      </c>
      <c r="C106" s="36">
        <f>'📝 Nhật Ký'!C103</f>
        <v>0</v>
      </c>
      <c r="D106" s="37">
        <f>'📝 Nhật Ký'!D103</f>
        <v>0</v>
      </c>
      <c r="E106" s="38">
        <f>'📝 Nhật Ký'!M103</f>
        <v>0</v>
      </c>
      <c r="F106" s="39">
        <f>'📝 Nhật Ký'!N103</f>
        <v>0</v>
      </c>
      <c r="G106" s="40">
        <f>'📝 Nhật Ký'!P103</f>
        <v>4000</v>
      </c>
      <c r="H106" s="41">
        <f>IFERROR((G106-MAX($G$5:G106))/MAX($G$5:G106),0)</f>
        <v>-0.1111111111111111</v>
      </c>
    </row>
    <row r="107" spans="2:8" ht="16" customHeight="1" x14ac:dyDescent="0.2">
      <c r="B107" s="35">
        <v>103</v>
      </c>
      <c r="C107" s="36">
        <f>'📝 Nhật Ký'!C104</f>
        <v>0</v>
      </c>
      <c r="D107" s="37">
        <f>'📝 Nhật Ký'!D104</f>
        <v>0</v>
      </c>
      <c r="E107" s="38">
        <f>'📝 Nhật Ký'!M104</f>
        <v>0</v>
      </c>
      <c r="F107" s="39">
        <f>'📝 Nhật Ký'!N104</f>
        <v>0</v>
      </c>
      <c r="G107" s="40">
        <f>'📝 Nhật Ký'!P104</f>
        <v>4000</v>
      </c>
      <c r="H107" s="41">
        <f>IFERROR((G107-MAX($G$5:G107))/MAX($G$5:G107),0)</f>
        <v>-0.1111111111111111</v>
      </c>
    </row>
    <row r="108" spans="2:8" ht="16" customHeight="1" x14ac:dyDescent="0.2">
      <c r="B108" s="35">
        <v>104</v>
      </c>
      <c r="C108" s="36">
        <f>'📝 Nhật Ký'!C105</f>
        <v>0</v>
      </c>
      <c r="D108" s="37">
        <f>'📝 Nhật Ký'!D105</f>
        <v>0</v>
      </c>
      <c r="E108" s="38">
        <f>'📝 Nhật Ký'!M105</f>
        <v>0</v>
      </c>
      <c r="F108" s="39">
        <f>'📝 Nhật Ký'!N105</f>
        <v>0</v>
      </c>
      <c r="G108" s="40">
        <f>'📝 Nhật Ký'!P105</f>
        <v>4000</v>
      </c>
      <c r="H108" s="41">
        <f>IFERROR((G108-MAX($G$5:G108))/MAX($G$5:G108),0)</f>
        <v>-0.1111111111111111</v>
      </c>
    </row>
    <row r="109" spans="2:8" ht="16" customHeight="1" x14ac:dyDescent="0.2">
      <c r="B109" s="35">
        <v>105</v>
      </c>
      <c r="C109" s="36">
        <f>'📝 Nhật Ký'!C106</f>
        <v>0</v>
      </c>
      <c r="D109" s="37">
        <f>'📝 Nhật Ký'!D106</f>
        <v>0</v>
      </c>
      <c r="E109" s="38">
        <f>'📝 Nhật Ký'!M106</f>
        <v>0</v>
      </c>
      <c r="F109" s="39">
        <f>'📝 Nhật Ký'!N106</f>
        <v>0</v>
      </c>
      <c r="G109" s="40">
        <f>'📝 Nhật Ký'!P106</f>
        <v>4000</v>
      </c>
      <c r="H109" s="41">
        <f>IFERROR((G109-MAX($G$5:G109))/MAX($G$5:G109),0)</f>
        <v>-0.1111111111111111</v>
      </c>
    </row>
    <row r="110" spans="2:8" ht="16" customHeight="1" x14ac:dyDescent="0.2">
      <c r="B110" s="35">
        <v>106</v>
      </c>
      <c r="C110" s="36">
        <f>'📝 Nhật Ký'!C107</f>
        <v>0</v>
      </c>
      <c r="D110" s="37">
        <f>'📝 Nhật Ký'!D107</f>
        <v>0</v>
      </c>
      <c r="E110" s="38">
        <f>'📝 Nhật Ký'!M107</f>
        <v>0</v>
      </c>
      <c r="F110" s="39">
        <f>'📝 Nhật Ký'!N107</f>
        <v>0</v>
      </c>
      <c r="G110" s="40">
        <f>'📝 Nhật Ký'!P107</f>
        <v>4000</v>
      </c>
      <c r="H110" s="41">
        <f>IFERROR((G110-MAX($G$5:G110))/MAX($G$5:G110),0)</f>
        <v>-0.1111111111111111</v>
      </c>
    </row>
    <row r="111" spans="2:8" ht="16" customHeight="1" x14ac:dyDescent="0.2">
      <c r="B111" s="35">
        <v>107</v>
      </c>
      <c r="C111" s="36">
        <f>'📝 Nhật Ký'!C108</f>
        <v>0</v>
      </c>
      <c r="D111" s="37">
        <f>'📝 Nhật Ký'!D108</f>
        <v>0</v>
      </c>
      <c r="E111" s="38">
        <f>'📝 Nhật Ký'!M108</f>
        <v>0</v>
      </c>
      <c r="F111" s="39">
        <f>'📝 Nhật Ký'!N108</f>
        <v>0</v>
      </c>
      <c r="G111" s="40">
        <f>'📝 Nhật Ký'!P108</f>
        <v>4000</v>
      </c>
      <c r="H111" s="41">
        <f>IFERROR((G111-MAX($G$5:G111))/MAX($G$5:G111),0)</f>
        <v>-0.1111111111111111</v>
      </c>
    </row>
    <row r="112" spans="2:8" ht="16" customHeight="1" x14ac:dyDescent="0.2">
      <c r="B112" s="35">
        <v>108</v>
      </c>
      <c r="C112" s="36">
        <f>'📝 Nhật Ký'!C109</f>
        <v>0</v>
      </c>
      <c r="D112" s="37">
        <f>'📝 Nhật Ký'!D109</f>
        <v>0</v>
      </c>
      <c r="E112" s="38">
        <f>'📝 Nhật Ký'!M109</f>
        <v>0</v>
      </c>
      <c r="F112" s="39">
        <f>'📝 Nhật Ký'!N109</f>
        <v>0</v>
      </c>
      <c r="G112" s="40">
        <f>'📝 Nhật Ký'!P109</f>
        <v>4000</v>
      </c>
      <c r="H112" s="41">
        <f>IFERROR((G112-MAX($G$5:G112))/MAX($G$5:G112),0)</f>
        <v>-0.1111111111111111</v>
      </c>
    </row>
    <row r="113" spans="2:8" ht="16" customHeight="1" x14ac:dyDescent="0.2">
      <c r="B113" s="35">
        <v>109</v>
      </c>
      <c r="C113" s="36">
        <f>'📝 Nhật Ký'!C110</f>
        <v>0</v>
      </c>
      <c r="D113" s="37">
        <f>'📝 Nhật Ký'!D110</f>
        <v>0</v>
      </c>
      <c r="E113" s="38">
        <f>'📝 Nhật Ký'!M110</f>
        <v>0</v>
      </c>
      <c r="F113" s="39">
        <f>'📝 Nhật Ký'!N110</f>
        <v>0</v>
      </c>
      <c r="G113" s="40">
        <f>'📝 Nhật Ký'!P110</f>
        <v>4000</v>
      </c>
      <c r="H113" s="41">
        <f>IFERROR((G113-MAX($G$5:G113))/MAX($G$5:G113),0)</f>
        <v>-0.1111111111111111</v>
      </c>
    </row>
    <row r="114" spans="2:8" ht="16" customHeight="1" x14ac:dyDescent="0.2">
      <c r="B114" s="35">
        <v>110</v>
      </c>
      <c r="C114" s="36">
        <f>'📝 Nhật Ký'!C111</f>
        <v>0</v>
      </c>
      <c r="D114" s="37">
        <f>'📝 Nhật Ký'!D111</f>
        <v>0</v>
      </c>
      <c r="E114" s="38">
        <f>'📝 Nhật Ký'!M111</f>
        <v>0</v>
      </c>
      <c r="F114" s="39">
        <f>'📝 Nhật Ký'!N111</f>
        <v>0</v>
      </c>
      <c r="G114" s="40">
        <f>'📝 Nhật Ký'!P111</f>
        <v>4000</v>
      </c>
      <c r="H114" s="41">
        <f>IFERROR((G114-MAX($G$5:G114))/MAX($G$5:G114),0)</f>
        <v>-0.1111111111111111</v>
      </c>
    </row>
    <row r="115" spans="2:8" ht="16" customHeight="1" x14ac:dyDescent="0.2">
      <c r="B115" s="35">
        <v>111</v>
      </c>
      <c r="C115" s="36">
        <f>'📝 Nhật Ký'!C112</f>
        <v>0</v>
      </c>
      <c r="D115" s="37">
        <f>'📝 Nhật Ký'!D112</f>
        <v>0</v>
      </c>
      <c r="E115" s="38">
        <f>'📝 Nhật Ký'!M112</f>
        <v>0</v>
      </c>
      <c r="F115" s="39">
        <f>'📝 Nhật Ký'!N112</f>
        <v>0</v>
      </c>
      <c r="G115" s="40">
        <f>'📝 Nhật Ký'!P112</f>
        <v>4000</v>
      </c>
      <c r="H115" s="41">
        <f>IFERROR((G115-MAX($G$5:G115))/MAX($G$5:G115),0)</f>
        <v>-0.1111111111111111</v>
      </c>
    </row>
    <row r="116" spans="2:8" ht="16" customHeight="1" x14ac:dyDescent="0.2">
      <c r="B116" s="35">
        <v>112</v>
      </c>
      <c r="C116" s="36">
        <f>'📝 Nhật Ký'!C113</f>
        <v>0</v>
      </c>
      <c r="D116" s="37">
        <f>'📝 Nhật Ký'!D113</f>
        <v>0</v>
      </c>
      <c r="E116" s="38">
        <f>'📝 Nhật Ký'!M113</f>
        <v>0</v>
      </c>
      <c r="F116" s="39">
        <f>'📝 Nhật Ký'!N113</f>
        <v>0</v>
      </c>
      <c r="G116" s="40">
        <f>'📝 Nhật Ký'!P113</f>
        <v>4000</v>
      </c>
      <c r="H116" s="41">
        <f>IFERROR((G116-MAX($G$5:G116))/MAX($G$5:G116),0)</f>
        <v>-0.1111111111111111</v>
      </c>
    </row>
    <row r="117" spans="2:8" ht="16" customHeight="1" x14ac:dyDescent="0.2">
      <c r="B117" s="35">
        <v>113</v>
      </c>
      <c r="C117" s="36">
        <f>'📝 Nhật Ký'!C114</f>
        <v>0</v>
      </c>
      <c r="D117" s="37">
        <f>'📝 Nhật Ký'!D114</f>
        <v>0</v>
      </c>
      <c r="E117" s="38">
        <f>'📝 Nhật Ký'!M114</f>
        <v>0</v>
      </c>
      <c r="F117" s="39">
        <f>'📝 Nhật Ký'!N114</f>
        <v>0</v>
      </c>
      <c r="G117" s="40">
        <f>'📝 Nhật Ký'!P114</f>
        <v>4000</v>
      </c>
      <c r="H117" s="41">
        <f>IFERROR((G117-MAX($G$5:G117))/MAX($G$5:G117),0)</f>
        <v>-0.1111111111111111</v>
      </c>
    </row>
    <row r="118" spans="2:8" ht="16" customHeight="1" x14ac:dyDescent="0.2">
      <c r="B118" s="35">
        <v>114</v>
      </c>
      <c r="C118" s="36">
        <f>'📝 Nhật Ký'!C115</f>
        <v>0</v>
      </c>
      <c r="D118" s="37">
        <f>'📝 Nhật Ký'!D115</f>
        <v>0</v>
      </c>
      <c r="E118" s="38">
        <f>'📝 Nhật Ký'!M115</f>
        <v>0</v>
      </c>
      <c r="F118" s="39">
        <f>'📝 Nhật Ký'!N115</f>
        <v>0</v>
      </c>
      <c r="G118" s="40">
        <f>'📝 Nhật Ký'!P115</f>
        <v>4000</v>
      </c>
      <c r="H118" s="41">
        <f>IFERROR((G118-MAX($G$5:G118))/MAX($G$5:G118),0)</f>
        <v>-0.1111111111111111</v>
      </c>
    </row>
    <row r="119" spans="2:8" ht="16" customHeight="1" x14ac:dyDescent="0.2">
      <c r="B119" s="35">
        <v>115</v>
      </c>
      <c r="C119" s="36">
        <f>'📝 Nhật Ký'!C116</f>
        <v>0</v>
      </c>
      <c r="D119" s="37">
        <f>'📝 Nhật Ký'!D116</f>
        <v>0</v>
      </c>
      <c r="E119" s="38">
        <f>'📝 Nhật Ký'!M116</f>
        <v>0</v>
      </c>
      <c r="F119" s="39">
        <f>'📝 Nhật Ký'!N116</f>
        <v>0</v>
      </c>
      <c r="G119" s="40">
        <f>'📝 Nhật Ký'!P116</f>
        <v>4000</v>
      </c>
      <c r="H119" s="41">
        <f>IFERROR((G119-MAX($G$5:G119))/MAX($G$5:G119),0)</f>
        <v>-0.1111111111111111</v>
      </c>
    </row>
    <row r="120" spans="2:8" ht="16" customHeight="1" x14ac:dyDescent="0.2">
      <c r="B120" s="35">
        <v>116</v>
      </c>
      <c r="C120" s="36">
        <f>'📝 Nhật Ký'!C117</f>
        <v>0</v>
      </c>
      <c r="D120" s="37">
        <f>'📝 Nhật Ký'!D117</f>
        <v>0</v>
      </c>
      <c r="E120" s="38">
        <f>'📝 Nhật Ký'!M117</f>
        <v>0</v>
      </c>
      <c r="F120" s="39">
        <f>'📝 Nhật Ký'!N117</f>
        <v>0</v>
      </c>
      <c r="G120" s="40">
        <f>'📝 Nhật Ký'!P117</f>
        <v>4000</v>
      </c>
      <c r="H120" s="41">
        <f>IFERROR((G120-MAX($G$5:G120))/MAX($G$5:G120),0)</f>
        <v>-0.1111111111111111</v>
      </c>
    </row>
    <row r="121" spans="2:8" ht="16" customHeight="1" x14ac:dyDescent="0.2">
      <c r="B121" s="35">
        <v>117</v>
      </c>
      <c r="C121" s="36">
        <f>'📝 Nhật Ký'!C118</f>
        <v>0</v>
      </c>
      <c r="D121" s="37">
        <f>'📝 Nhật Ký'!D118</f>
        <v>0</v>
      </c>
      <c r="E121" s="38">
        <f>'📝 Nhật Ký'!M118</f>
        <v>0</v>
      </c>
      <c r="F121" s="39">
        <f>'📝 Nhật Ký'!N118</f>
        <v>0</v>
      </c>
      <c r="G121" s="40">
        <f>'📝 Nhật Ký'!P118</f>
        <v>4000</v>
      </c>
      <c r="H121" s="41">
        <f>IFERROR((G121-MAX($G$5:G121))/MAX($G$5:G121),0)</f>
        <v>-0.1111111111111111</v>
      </c>
    </row>
    <row r="122" spans="2:8" ht="16" customHeight="1" x14ac:dyDescent="0.2">
      <c r="B122" s="35">
        <v>118</v>
      </c>
      <c r="C122" s="36">
        <f>'📝 Nhật Ký'!C119</f>
        <v>0</v>
      </c>
      <c r="D122" s="37">
        <f>'📝 Nhật Ký'!D119</f>
        <v>0</v>
      </c>
      <c r="E122" s="38">
        <f>'📝 Nhật Ký'!M119</f>
        <v>0</v>
      </c>
      <c r="F122" s="39">
        <f>'📝 Nhật Ký'!N119</f>
        <v>0</v>
      </c>
      <c r="G122" s="40">
        <f>'📝 Nhật Ký'!P119</f>
        <v>4000</v>
      </c>
      <c r="H122" s="41">
        <f>IFERROR((G122-MAX($G$5:G122))/MAX($G$5:G122),0)</f>
        <v>-0.1111111111111111</v>
      </c>
    </row>
    <row r="123" spans="2:8" ht="16" customHeight="1" x14ac:dyDescent="0.2">
      <c r="B123" s="35">
        <v>119</v>
      </c>
      <c r="C123" s="36">
        <f>'📝 Nhật Ký'!C120</f>
        <v>0</v>
      </c>
      <c r="D123" s="37">
        <f>'📝 Nhật Ký'!D120</f>
        <v>0</v>
      </c>
      <c r="E123" s="38">
        <f>'📝 Nhật Ký'!M120</f>
        <v>0</v>
      </c>
      <c r="F123" s="39">
        <f>'📝 Nhật Ký'!N120</f>
        <v>0</v>
      </c>
      <c r="G123" s="40">
        <f>'📝 Nhật Ký'!P120</f>
        <v>4000</v>
      </c>
      <c r="H123" s="41">
        <f>IFERROR((G123-MAX($G$5:G123))/MAX($G$5:G123),0)</f>
        <v>-0.1111111111111111</v>
      </c>
    </row>
    <row r="124" spans="2:8" ht="16" customHeight="1" x14ac:dyDescent="0.2">
      <c r="B124" s="35">
        <v>120</v>
      </c>
      <c r="C124" s="36">
        <f>'📝 Nhật Ký'!C121</f>
        <v>0</v>
      </c>
      <c r="D124" s="37">
        <f>'📝 Nhật Ký'!D121</f>
        <v>0</v>
      </c>
      <c r="E124" s="38">
        <f>'📝 Nhật Ký'!M121</f>
        <v>0</v>
      </c>
      <c r="F124" s="39">
        <f>'📝 Nhật Ký'!N121</f>
        <v>0</v>
      </c>
      <c r="G124" s="40">
        <f>'📝 Nhật Ký'!P121</f>
        <v>4000</v>
      </c>
      <c r="H124" s="41">
        <f>IFERROR((G124-MAX($G$5:G124))/MAX($G$5:G124),0)</f>
        <v>-0.1111111111111111</v>
      </c>
    </row>
    <row r="125" spans="2:8" ht="16" customHeight="1" x14ac:dyDescent="0.2">
      <c r="B125" s="35">
        <v>121</v>
      </c>
      <c r="C125" s="36">
        <f>'📝 Nhật Ký'!C122</f>
        <v>0</v>
      </c>
      <c r="D125" s="37">
        <f>'📝 Nhật Ký'!D122</f>
        <v>0</v>
      </c>
      <c r="E125" s="38">
        <f>'📝 Nhật Ký'!M122</f>
        <v>0</v>
      </c>
      <c r="F125" s="39">
        <f>'📝 Nhật Ký'!N122</f>
        <v>0</v>
      </c>
      <c r="G125" s="40">
        <f>'📝 Nhật Ký'!P122</f>
        <v>4000</v>
      </c>
      <c r="H125" s="41">
        <f>IFERROR((G125-MAX($G$5:G125))/MAX($G$5:G125),0)</f>
        <v>-0.1111111111111111</v>
      </c>
    </row>
    <row r="126" spans="2:8" ht="16" customHeight="1" x14ac:dyDescent="0.2">
      <c r="B126" s="35">
        <v>122</v>
      </c>
      <c r="C126" s="36">
        <f>'📝 Nhật Ký'!C123</f>
        <v>0</v>
      </c>
      <c r="D126" s="37">
        <f>'📝 Nhật Ký'!D123</f>
        <v>0</v>
      </c>
      <c r="E126" s="38">
        <f>'📝 Nhật Ký'!M123</f>
        <v>0</v>
      </c>
      <c r="F126" s="39">
        <f>'📝 Nhật Ký'!N123</f>
        <v>0</v>
      </c>
      <c r="G126" s="40">
        <f>'📝 Nhật Ký'!P123</f>
        <v>4000</v>
      </c>
      <c r="H126" s="41">
        <f>IFERROR((G126-MAX($G$5:G126))/MAX($G$5:G126),0)</f>
        <v>-0.1111111111111111</v>
      </c>
    </row>
    <row r="127" spans="2:8" ht="16" customHeight="1" x14ac:dyDescent="0.2">
      <c r="B127" s="35">
        <v>123</v>
      </c>
      <c r="C127" s="36">
        <f>'📝 Nhật Ký'!C124</f>
        <v>0</v>
      </c>
      <c r="D127" s="37">
        <f>'📝 Nhật Ký'!D124</f>
        <v>0</v>
      </c>
      <c r="E127" s="38">
        <f>'📝 Nhật Ký'!M124</f>
        <v>0</v>
      </c>
      <c r="F127" s="39">
        <f>'📝 Nhật Ký'!N124</f>
        <v>0</v>
      </c>
      <c r="G127" s="40">
        <f>'📝 Nhật Ký'!P124</f>
        <v>4000</v>
      </c>
      <c r="H127" s="41">
        <f>IFERROR((G127-MAX($G$5:G127))/MAX($G$5:G127),0)</f>
        <v>-0.1111111111111111</v>
      </c>
    </row>
    <row r="128" spans="2:8" ht="16" customHeight="1" x14ac:dyDescent="0.2">
      <c r="B128" s="35">
        <v>124</v>
      </c>
      <c r="C128" s="36">
        <f>'📝 Nhật Ký'!C125</f>
        <v>0</v>
      </c>
      <c r="D128" s="37">
        <f>'📝 Nhật Ký'!D125</f>
        <v>0</v>
      </c>
      <c r="E128" s="38">
        <f>'📝 Nhật Ký'!M125</f>
        <v>0</v>
      </c>
      <c r="F128" s="39">
        <f>'📝 Nhật Ký'!N125</f>
        <v>0</v>
      </c>
      <c r="G128" s="40">
        <f>'📝 Nhật Ký'!P125</f>
        <v>4000</v>
      </c>
      <c r="H128" s="41">
        <f>IFERROR((G128-MAX($G$5:G128))/MAX($G$5:G128),0)</f>
        <v>-0.1111111111111111</v>
      </c>
    </row>
    <row r="129" spans="2:8" ht="16" customHeight="1" x14ac:dyDescent="0.2">
      <c r="B129" s="35">
        <v>125</v>
      </c>
      <c r="C129" s="36">
        <f>'📝 Nhật Ký'!C126</f>
        <v>0</v>
      </c>
      <c r="D129" s="37">
        <f>'📝 Nhật Ký'!D126</f>
        <v>0</v>
      </c>
      <c r="E129" s="38">
        <f>'📝 Nhật Ký'!M126</f>
        <v>0</v>
      </c>
      <c r="F129" s="39">
        <f>'📝 Nhật Ký'!N126</f>
        <v>0</v>
      </c>
      <c r="G129" s="40">
        <f>'📝 Nhật Ký'!P126</f>
        <v>4000</v>
      </c>
      <c r="H129" s="41">
        <f>IFERROR((G129-MAX($G$5:G129))/MAX($G$5:G129),0)</f>
        <v>-0.1111111111111111</v>
      </c>
    </row>
    <row r="130" spans="2:8" ht="16" customHeight="1" x14ac:dyDescent="0.2">
      <c r="B130" s="35">
        <v>126</v>
      </c>
      <c r="C130" s="36">
        <f>'📝 Nhật Ký'!C127</f>
        <v>0</v>
      </c>
      <c r="D130" s="37">
        <f>'📝 Nhật Ký'!D127</f>
        <v>0</v>
      </c>
      <c r="E130" s="38">
        <f>'📝 Nhật Ký'!M127</f>
        <v>0</v>
      </c>
      <c r="F130" s="39">
        <f>'📝 Nhật Ký'!N127</f>
        <v>0</v>
      </c>
      <c r="G130" s="40">
        <f>'📝 Nhật Ký'!P127</f>
        <v>4000</v>
      </c>
      <c r="H130" s="41">
        <f>IFERROR((G130-MAX($G$5:G130))/MAX($G$5:G130),0)</f>
        <v>-0.1111111111111111</v>
      </c>
    </row>
    <row r="131" spans="2:8" ht="16" customHeight="1" x14ac:dyDescent="0.2">
      <c r="B131" s="35">
        <v>127</v>
      </c>
      <c r="C131" s="36">
        <f>'📝 Nhật Ký'!C128</f>
        <v>0</v>
      </c>
      <c r="D131" s="37">
        <f>'📝 Nhật Ký'!D128</f>
        <v>0</v>
      </c>
      <c r="E131" s="38">
        <f>'📝 Nhật Ký'!M128</f>
        <v>0</v>
      </c>
      <c r="F131" s="39">
        <f>'📝 Nhật Ký'!N128</f>
        <v>0</v>
      </c>
      <c r="G131" s="40">
        <f>'📝 Nhật Ký'!P128</f>
        <v>4000</v>
      </c>
      <c r="H131" s="41">
        <f>IFERROR((G131-MAX($G$5:G131))/MAX($G$5:G131),0)</f>
        <v>-0.1111111111111111</v>
      </c>
    </row>
    <row r="132" spans="2:8" ht="16" customHeight="1" x14ac:dyDescent="0.2">
      <c r="B132" s="35">
        <v>128</v>
      </c>
      <c r="C132" s="36">
        <f>'📝 Nhật Ký'!C129</f>
        <v>0</v>
      </c>
      <c r="D132" s="37">
        <f>'📝 Nhật Ký'!D129</f>
        <v>0</v>
      </c>
      <c r="E132" s="38">
        <f>'📝 Nhật Ký'!M129</f>
        <v>0</v>
      </c>
      <c r="F132" s="39">
        <f>'📝 Nhật Ký'!N129</f>
        <v>0</v>
      </c>
      <c r="G132" s="40">
        <f>'📝 Nhật Ký'!P129</f>
        <v>4000</v>
      </c>
      <c r="H132" s="41">
        <f>IFERROR((G132-MAX($G$5:G132))/MAX($G$5:G132),0)</f>
        <v>-0.1111111111111111</v>
      </c>
    </row>
    <row r="133" spans="2:8" ht="16" customHeight="1" x14ac:dyDescent="0.2">
      <c r="B133" s="35">
        <v>129</v>
      </c>
      <c r="C133" s="36">
        <f>'📝 Nhật Ký'!C130</f>
        <v>0</v>
      </c>
      <c r="D133" s="37">
        <f>'📝 Nhật Ký'!D130</f>
        <v>0</v>
      </c>
      <c r="E133" s="38">
        <f>'📝 Nhật Ký'!M130</f>
        <v>0</v>
      </c>
      <c r="F133" s="39">
        <f>'📝 Nhật Ký'!N130</f>
        <v>0</v>
      </c>
      <c r="G133" s="40">
        <f>'📝 Nhật Ký'!P130</f>
        <v>4000</v>
      </c>
      <c r="H133" s="41">
        <f>IFERROR((G133-MAX($G$5:G133))/MAX($G$5:G133),0)</f>
        <v>-0.1111111111111111</v>
      </c>
    </row>
    <row r="134" spans="2:8" ht="16" customHeight="1" x14ac:dyDescent="0.2">
      <c r="B134" s="35">
        <v>130</v>
      </c>
      <c r="C134" s="36">
        <f>'📝 Nhật Ký'!C131</f>
        <v>0</v>
      </c>
      <c r="D134" s="37">
        <f>'📝 Nhật Ký'!D131</f>
        <v>0</v>
      </c>
      <c r="E134" s="38">
        <f>'📝 Nhật Ký'!M131</f>
        <v>0</v>
      </c>
      <c r="F134" s="39">
        <f>'📝 Nhật Ký'!N131</f>
        <v>0</v>
      </c>
      <c r="G134" s="40">
        <f>'📝 Nhật Ký'!P131</f>
        <v>4000</v>
      </c>
      <c r="H134" s="41">
        <f>IFERROR((G134-MAX($G$5:G134))/MAX($G$5:G134),0)</f>
        <v>-0.1111111111111111</v>
      </c>
    </row>
    <row r="135" spans="2:8" ht="16" customHeight="1" x14ac:dyDescent="0.2">
      <c r="B135" s="35">
        <v>131</v>
      </c>
      <c r="C135" s="36">
        <f>'📝 Nhật Ký'!C132</f>
        <v>0</v>
      </c>
      <c r="D135" s="37">
        <f>'📝 Nhật Ký'!D132</f>
        <v>0</v>
      </c>
      <c r="E135" s="38">
        <f>'📝 Nhật Ký'!M132</f>
        <v>0</v>
      </c>
      <c r="F135" s="39">
        <f>'📝 Nhật Ký'!N132</f>
        <v>0</v>
      </c>
      <c r="G135" s="40">
        <f>'📝 Nhật Ký'!P132</f>
        <v>4000</v>
      </c>
      <c r="H135" s="41">
        <f>IFERROR((G135-MAX($G$5:G135))/MAX($G$5:G135),0)</f>
        <v>-0.1111111111111111</v>
      </c>
    </row>
    <row r="136" spans="2:8" ht="16" customHeight="1" x14ac:dyDescent="0.2">
      <c r="B136" s="35">
        <v>132</v>
      </c>
      <c r="C136" s="36">
        <f>'📝 Nhật Ký'!C133</f>
        <v>0</v>
      </c>
      <c r="D136" s="37">
        <f>'📝 Nhật Ký'!D133</f>
        <v>0</v>
      </c>
      <c r="E136" s="38">
        <f>'📝 Nhật Ký'!M133</f>
        <v>0</v>
      </c>
      <c r="F136" s="39">
        <f>'📝 Nhật Ký'!N133</f>
        <v>0</v>
      </c>
      <c r="G136" s="40">
        <f>'📝 Nhật Ký'!P133</f>
        <v>4000</v>
      </c>
      <c r="H136" s="41">
        <f>IFERROR((G136-MAX($G$5:G136))/MAX($G$5:G136),0)</f>
        <v>-0.1111111111111111</v>
      </c>
    </row>
    <row r="137" spans="2:8" ht="16" customHeight="1" x14ac:dyDescent="0.2">
      <c r="B137" s="35">
        <v>133</v>
      </c>
      <c r="C137" s="36">
        <f>'📝 Nhật Ký'!C134</f>
        <v>0</v>
      </c>
      <c r="D137" s="37">
        <f>'📝 Nhật Ký'!D134</f>
        <v>0</v>
      </c>
      <c r="E137" s="38">
        <f>'📝 Nhật Ký'!M134</f>
        <v>0</v>
      </c>
      <c r="F137" s="39">
        <f>'📝 Nhật Ký'!N134</f>
        <v>0</v>
      </c>
      <c r="G137" s="40">
        <f>'📝 Nhật Ký'!P134</f>
        <v>4000</v>
      </c>
      <c r="H137" s="41">
        <f>IFERROR((G137-MAX($G$5:G137))/MAX($G$5:G137),0)</f>
        <v>-0.1111111111111111</v>
      </c>
    </row>
    <row r="138" spans="2:8" ht="16" customHeight="1" x14ac:dyDescent="0.2">
      <c r="B138" s="35">
        <v>134</v>
      </c>
      <c r="C138" s="36">
        <f>'📝 Nhật Ký'!C135</f>
        <v>0</v>
      </c>
      <c r="D138" s="37">
        <f>'📝 Nhật Ký'!D135</f>
        <v>0</v>
      </c>
      <c r="E138" s="38">
        <f>'📝 Nhật Ký'!M135</f>
        <v>0</v>
      </c>
      <c r="F138" s="39">
        <f>'📝 Nhật Ký'!N135</f>
        <v>0</v>
      </c>
      <c r="G138" s="40">
        <f>'📝 Nhật Ký'!P135</f>
        <v>4000</v>
      </c>
      <c r="H138" s="41">
        <f>IFERROR((G138-MAX($G$5:G138))/MAX($G$5:G138),0)</f>
        <v>-0.1111111111111111</v>
      </c>
    </row>
    <row r="139" spans="2:8" ht="16" customHeight="1" x14ac:dyDescent="0.2">
      <c r="B139" s="35">
        <v>135</v>
      </c>
      <c r="C139" s="36">
        <f>'📝 Nhật Ký'!C136</f>
        <v>0</v>
      </c>
      <c r="D139" s="37">
        <f>'📝 Nhật Ký'!D136</f>
        <v>0</v>
      </c>
      <c r="E139" s="38">
        <f>'📝 Nhật Ký'!M136</f>
        <v>0</v>
      </c>
      <c r="F139" s="39">
        <f>'📝 Nhật Ký'!N136</f>
        <v>0</v>
      </c>
      <c r="G139" s="40">
        <f>'📝 Nhật Ký'!P136</f>
        <v>4000</v>
      </c>
      <c r="H139" s="41">
        <f>IFERROR((G139-MAX($G$5:G139))/MAX($G$5:G139),0)</f>
        <v>-0.1111111111111111</v>
      </c>
    </row>
    <row r="140" spans="2:8" ht="16" customHeight="1" x14ac:dyDescent="0.2">
      <c r="B140" s="35">
        <v>136</v>
      </c>
      <c r="C140" s="36">
        <f>'📝 Nhật Ký'!C137</f>
        <v>0</v>
      </c>
      <c r="D140" s="37">
        <f>'📝 Nhật Ký'!D137</f>
        <v>0</v>
      </c>
      <c r="E140" s="38">
        <f>'📝 Nhật Ký'!M137</f>
        <v>0</v>
      </c>
      <c r="F140" s="39">
        <f>'📝 Nhật Ký'!N137</f>
        <v>0</v>
      </c>
      <c r="G140" s="40">
        <f>'📝 Nhật Ký'!P137</f>
        <v>4000</v>
      </c>
      <c r="H140" s="41">
        <f>IFERROR((G140-MAX($G$5:G140))/MAX($G$5:G140),0)</f>
        <v>-0.1111111111111111</v>
      </c>
    </row>
    <row r="141" spans="2:8" ht="16" customHeight="1" x14ac:dyDescent="0.2">
      <c r="B141" s="35">
        <v>137</v>
      </c>
      <c r="C141" s="36">
        <f>'📝 Nhật Ký'!C138</f>
        <v>0</v>
      </c>
      <c r="D141" s="37">
        <f>'📝 Nhật Ký'!D138</f>
        <v>0</v>
      </c>
      <c r="E141" s="38">
        <f>'📝 Nhật Ký'!M138</f>
        <v>0</v>
      </c>
      <c r="F141" s="39">
        <f>'📝 Nhật Ký'!N138</f>
        <v>0</v>
      </c>
      <c r="G141" s="40">
        <f>'📝 Nhật Ký'!P138</f>
        <v>4000</v>
      </c>
      <c r="H141" s="41">
        <f>IFERROR((G141-MAX($G$5:G141))/MAX($G$5:G141),0)</f>
        <v>-0.1111111111111111</v>
      </c>
    </row>
    <row r="142" spans="2:8" ht="16" customHeight="1" x14ac:dyDescent="0.2">
      <c r="B142" s="35">
        <v>138</v>
      </c>
      <c r="C142" s="36">
        <f>'📝 Nhật Ký'!C139</f>
        <v>0</v>
      </c>
      <c r="D142" s="37">
        <f>'📝 Nhật Ký'!D139</f>
        <v>0</v>
      </c>
      <c r="E142" s="38">
        <f>'📝 Nhật Ký'!M139</f>
        <v>0</v>
      </c>
      <c r="F142" s="39">
        <f>'📝 Nhật Ký'!N139</f>
        <v>0</v>
      </c>
      <c r="G142" s="40">
        <f>'📝 Nhật Ký'!P139</f>
        <v>4000</v>
      </c>
      <c r="H142" s="41">
        <f>IFERROR((G142-MAX($G$5:G142))/MAX($G$5:G142),0)</f>
        <v>-0.1111111111111111</v>
      </c>
    </row>
    <row r="143" spans="2:8" ht="16" customHeight="1" x14ac:dyDescent="0.2">
      <c r="B143" s="35">
        <v>139</v>
      </c>
      <c r="C143" s="36">
        <f>'📝 Nhật Ký'!C140</f>
        <v>0</v>
      </c>
      <c r="D143" s="37">
        <f>'📝 Nhật Ký'!D140</f>
        <v>0</v>
      </c>
      <c r="E143" s="38">
        <f>'📝 Nhật Ký'!M140</f>
        <v>0</v>
      </c>
      <c r="F143" s="39">
        <f>'📝 Nhật Ký'!N140</f>
        <v>0</v>
      </c>
      <c r="G143" s="40">
        <f>'📝 Nhật Ký'!P140</f>
        <v>4000</v>
      </c>
      <c r="H143" s="41">
        <f>IFERROR((G143-MAX($G$5:G143))/MAX($G$5:G143),0)</f>
        <v>-0.1111111111111111</v>
      </c>
    </row>
    <row r="144" spans="2:8" ht="16" customHeight="1" x14ac:dyDescent="0.2">
      <c r="B144" s="35">
        <v>140</v>
      </c>
      <c r="C144" s="36">
        <f>'📝 Nhật Ký'!C141</f>
        <v>0</v>
      </c>
      <c r="D144" s="37">
        <f>'📝 Nhật Ký'!D141</f>
        <v>0</v>
      </c>
      <c r="E144" s="38">
        <f>'📝 Nhật Ký'!M141</f>
        <v>0</v>
      </c>
      <c r="F144" s="39">
        <f>'📝 Nhật Ký'!N141</f>
        <v>0</v>
      </c>
      <c r="G144" s="40">
        <f>'📝 Nhật Ký'!P141</f>
        <v>4000</v>
      </c>
      <c r="H144" s="41">
        <f>IFERROR((G144-MAX($G$5:G144))/MAX($G$5:G144),0)</f>
        <v>-0.1111111111111111</v>
      </c>
    </row>
    <row r="145" spans="2:8" ht="16" customHeight="1" x14ac:dyDescent="0.2">
      <c r="B145" s="35">
        <v>141</v>
      </c>
      <c r="C145" s="36">
        <f>'📝 Nhật Ký'!C142</f>
        <v>0</v>
      </c>
      <c r="D145" s="37">
        <f>'📝 Nhật Ký'!D142</f>
        <v>0</v>
      </c>
      <c r="E145" s="38">
        <f>'📝 Nhật Ký'!M142</f>
        <v>0</v>
      </c>
      <c r="F145" s="39">
        <f>'📝 Nhật Ký'!N142</f>
        <v>0</v>
      </c>
      <c r="G145" s="40">
        <f>'📝 Nhật Ký'!P142</f>
        <v>4000</v>
      </c>
      <c r="H145" s="41">
        <f>IFERROR((G145-MAX($G$5:G145))/MAX($G$5:G145),0)</f>
        <v>-0.1111111111111111</v>
      </c>
    </row>
    <row r="146" spans="2:8" ht="16" customHeight="1" x14ac:dyDescent="0.2">
      <c r="B146" s="35">
        <v>142</v>
      </c>
      <c r="C146" s="36">
        <f>'📝 Nhật Ký'!C143</f>
        <v>0</v>
      </c>
      <c r="D146" s="37">
        <f>'📝 Nhật Ký'!D143</f>
        <v>0</v>
      </c>
      <c r="E146" s="38">
        <f>'📝 Nhật Ký'!M143</f>
        <v>0</v>
      </c>
      <c r="F146" s="39">
        <f>'📝 Nhật Ký'!N143</f>
        <v>0</v>
      </c>
      <c r="G146" s="40">
        <f>'📝 Nhật Ký'!P143</f>
        <v>4000</v>
      </c>
      <c r="H146" s="41">
        <f>IFERROR((G146-MAX($G$5:G146))/MAX($G$5:G146),0)</f>
        <v>-0.1111111111111111</v>
      </c>
    </row>
    <row r="147" spans="2:8" ht="16" customHeight="1" x14ac:dyDescent="0.2">
      <c r="B147" s="35">
        <v>143</v>
      </c>
      <c r="C147" s="36">
        <f>'📝 Nhật Ký'!C144</f>
        <v>0</v>
      </c>
      <c r="D147" s="37">
        <f>'📝 Nhật Ký'!D144</f>
        <v>0</v>
      </c>
      <c r="E147" s="38">
        <f>'📝 Nhật Ký'!M144</f>
        <v>0</v>
      </c>
      <c r="F147" s="39">
        <f>'📝 Nhật Ký'!N144</f>
        <v>0</v>
      </c>
      <c r="G147" s="40">
        <f>'📝 Nhật Ký'!P144</f>
        <v>4000</v>
      </c>
      <c r="H147" s="41">
        <f>IFERROR((G147-MAX($G$5:G147))/MAX($G$5:G147),0)</f>
        <v>-0.1111111111111111</v>
      </c>
    </row>
    <row r="148" spans="2:8" ht="16" customHeight="1" x14ac:dyDescent="0.2">
      <c r="B148" s="35">
        <v>144</v>
      </c>
      <c r="C148" s="36">
        <f>'📝 Nhật Ký'!C145</f>
        <v>0</v>
      </c>
      <c r="D148" s="37">
        <f>'📝 Nhật Ký'!D145</f>
        <v>0</v>
      </c>
      <c r="E148" s="38">
        <f>'📝 Nhật Ký'!M145</f>
        <v>0</v>
      </c>
      <c r="F148" s="39">
        <f>'📝 Nhật Ký'!N145</f>
        <v>0</v>
      </c>
      <c r="G148" s="40">
        <f>'📝 Nhật Ký'!P145</f>
        <v>4000</v>
      </c>
      <c r="H148" s="41">
        <f>IFERROR((G148-MAX($G$5:G148))/MAX($G$5:G148),0)</f>
        <v>-0.1111111111111111</v>
      </c>
    </row>
    <row r="149" spans="2:8" ht="16" customHeight="1" x14ac:dyDescent="0.2">
      <c r="B149" s="35">
        <v>145</v>
      </c>
      <c r="C149" s="36">
        <f>'📝 Nhật Ký'!C146</f>
        <v>0</v>
      </c>
      <c r="D149" s="37">
        <f>'📝 Nhật Ký'!D146</f>
        <v>0</v>
      </c>
      <c r="E149" s="38">
        <f>'📝 Nhật Ký'!M146</f>
        <v>0</v>
      </c>
      <c r="F149" s="39">
        <f>'📝 Nhật Ký'!N146</f>
        <v>0</v>
      </c>
      <c r="G149" s="40">
        <f>'📝 Nhật Ký'!P146</f>
        <v>4000</v>
      </c>
      <c r="H149" s="41">
        <f>IFERROR((G149-MAX($G$5:G149))/MAX($G$5:G149),0)</f>
        <v>-0.1111111111111111</v>
      </c>
    </row>
    <row r="150" spans="2:8" ht="16" customHeight="1" x14ac:dyDescent="0.2">
      <c r="B150" s="35">
        <v>146</v>
      </c>
      <c r="C150" s="36">
        <f>'📝 Nhật Ký'!C147</f>
        <v>0</v>
      </c>
      <c r="D150" s="37">
        <f>'📝 Nhật Ký'!D147</f>
        <v>0</v>
      </c>
      <c r="E150" s="38">
        <f>'📝 Nhật Ký'!M147</f>
        <v>0</v>
      </c>
      <c r="F150" s="39">
        <f>'📝 Nhật Ký'!N147</f>
        <v>0</v>
      </c>
      <c r="G150" s="40">
        <f>'📝 Nhật Ký'!P147</f>
        <v>4000</v>
      </c>
      <c r="H150" s="41">
        <f>IFERROR((G150-MAX($G$5:G150))/MAX($G$5:G150),0)</f>
        <v>-0.1111111111111111</v>
      </c>
    </row>
    <row r="151" spans="2:8" ht="16" customHeight="1" x14ac:dyDescent="0.2">
      <c r="B151" s="35">
        <v>147</v>
      </c>
      <c r="C151" s="36">
        <f>'📝 Nhật Ký'!C148</f>
        <v>0</v>
      </c>
      <c r="D151" s="37">
        <f>'📝 Nhật Ký'!D148</f>
        <v>0</v>
      </c>
      <c r="E151" s="38">
        <f>'📝 Nhật Ký'!M148</f>
        <v>0</v>
      </c>
      <c r="F151" s="39">
        <f>'📝 Nhật Ký'!N148</f>
        <v>0</v>
      </c>
      <c r="G151" s="40">
        <f>'📝 Nhật Ký'!P148</f>
        <v>4000</v>
      </c>
      <c r="H151" s="41">
        <f>IFERROR((G151-MAX($G$5:G151))/MAX($G$5:G151),0)</f>
        <v>-0.1111111111111111</v>
      </c>
    </row>
    <row r="152" spans="2:8" ht="16" customHeight="1" x14ac:dyDescent="0.2">
      <c r="B152" s="35">
        <v>148</v>
      </c>
      <c r="C152" s="36">
        <f>'📝 Nhật Ký'!C149</f>
        <v>0</v>
      </c>
      <c r="D152" s="37">
        <f>'📝 Nhật Ký'!D149</f>
        <v>0</v>
      </c>
      <c r="E152" s="38">
        <f>'📝 Nhật Ký'!M149</f>
        <v>0</v>
      </c>
      <c r="F152" s="39">
        <f>'📝 Nhật Ký'!N149</f>
        <v>0</v>
      </c>
      <c r="G152" s="40">
        <f>'📝 Nhật Ký'!P149</f>
        <v>4000</v>
      </c>
      <c r="H152" s="41">
        <f>IFERROR((G152-MAX($G$5:G152))/MAX($G$5:G152),0)</f>
        <v>-0.1111111111111111</v>
      </c>
    </row>
    <row r="153" spans="2:8" ht="16" customHeight="1" x14ac:dyDescent="0.2">
      <c r="B153" s="35">
        <v>149</v>
      </c>
      <c r="C153" s="36">
        <f>'📝 Nhật Ký'!C150</f>
        <v>0</v>
      </c>
      <c r="D153" s="37">
        <f>'📝 Nhật Ký'!D150</f>
        <v>0</v>
      </c>
      <c r="E153" s="38">
        <f>'📝 Nhật Ký'!M150</f>
        <v>0</v>
      </c>
      <c r="F153" s="39">
        <f>'📝 Nhật Ký'!N150</f>
        <v>0</v>
      </c>
      <c r="G153" s="40">
        <f>'📝 Nhật Ký'!P150</f>
        <v>4000</v>
      </c>
      <c r="H153" s="41">
        <f>IFERROR((G153-MAX($G$5:G153))/MAX($G$5:G153),0)</f>
        <v>-0.1111111111111111</v>
      </c>
    </row>
    <row r="154" spans="2:8" ht="16" customHeight="1" x14ac:dyDescent="0.2">
      <c r="B154" s="35">
        <v>150</v>
      </c>
      <c r="C154" s="36">
        <f>'📝 Nhật Ký'!C151</f>
        <v>0</v>
      </c>
      <c r="D154" s="37">
        <f>'📝 Nhật Ký'!D151</f>
        <v>0</v>
      </c>
      <c r="E154" s="38">
        <f>'📝 Nhật Ký'!M151</f>
        <v>0</v>
      </c>
      <c r="F154" s="39">
        <f>'📝 Nhật Ký'!N151</f>
        <v>0</v>
      </c>
      <c r="G154" s="40">
        <f>'📝 Nhật Ký'!P151</f>
        <v>4000</v>
      </c>
      <c r="H154" s="41">
        <f>IFERROR((G154-MAX($G$5:G154))/MAX($G$5:G154),0)</f>
        <v>-0.1111111111111111</v>
      </c>
    </row>
    <row r="155" spans="2:8" ht="16" customHeight="1" x14ac:dyDescent="0.2">
      <c r="B155" s="35">
        <v>151</v>
      </c>
      <c r="C155" s="36">
        <f>'📝 Nhật Ký'!C152</f>
        <v>0</v>
      </c>
      <c r="D155" s="37">
        <f>'📝 Nhật Ký'!D152</f>
        <v>0</v>
      </c>
      <c r="E155" s="38">
        <f>'📝 Nhật Ký'!M152</f>
        <v>0</v>
      </c>
      <c r="F155" s="39">
        <f>'📝 Nhật Ký'!N152</f>
        <v>0</v>
      </c>
      <c r="G155" s="40">
        <f>'📝 Nhật Ký'!P152</f>
        <v>4000</v>
      </c>
      <c r="H155" s="41">
        <f>IFERROR((G155-MAX($G$5:G155))/MAX($G$5:G155),0)</f>
        <v>-0.1111111111111111</v>
      </c>
    </row>
    <row r="156" spans="2:8" ht="16" customHeight="1" x14ac:dyDescent="0.2">
      <c r="B156" s="35">
        <v>152</v>
      </c>
      <c r="C156" s="36">
        <f>'📝 Nhật Ký'!C153</f>
        <v>0</v>
      </c>
      <c r="D156" s="37">
        <f>'📝 Nhật Ký'!D153</f>
        <v>0</v>
      </c>
      <c r="E156" s="38">
        <f>'📝 Nhật Ký'!M153</f>
        <v>0</v>
      </c>
      <c r="F156" s="39">
        <f>'📝 Nhật Ký'!N153</f>
        <v>0</v>
      </c>
      <c r="G156" s="40">
        <f>'📝 Nhật Ký'!P153</f>
        <v>4000</v>
      </c>
      <c r="H156" s="41">
        <f>IFERROR((G156-MAX($G$5:G156))/MAX($G$5:G156),0)</f>
        <v>-0.1111111111111111</v>
      </c>
    </row>
    <row r="157" spans="2:8" ht="16" customHeight="1" x14ac:dyDescent="0.2">
      <c r="B157" s="35">
        <v>153</v>
      </c>
      <c r="C157" s="36">
        <f>'📝 Nhật Ký'!C154</f>
        <v>0</v>
      </c>
      <c r="D157" s="37">
        <f>'📝 Nhật Ký'!D154</f>
        <v>0</v>
      </c>
      <c r="E157" s="38">
        <f>'📝 Nhật Ký'!M154</f>
        <v>0</v>
      </c>
      <c r="F157" s="39">
        <f>'📝 Nhật Ký'!N154</f>
        <v>0</v>
      </c>
      <c r="G157" s="40">
        <f>'📝 Nhật Ký'!P154</f>
        <v>4000</v>
      </c>
      <c r="H157" s="41">
        <f>IFERROR((G157-MAX($G$5:G157))/MAX($G$5:G157),0)</f>
        <v>-0.1111111111111111</v>
      </c>
    </row>
    <row r="158" spans="2:8" ht="16" customHeight="1" x14ac:dyDescent="0.2">
      <c r="B158" s="35">
        <v>154</v>
      </c>
      <c r="C158" s="36">
        <f>'📝 Nhật Ký'!C155</f>
        <v>0</v>
      </c>
      <c r="D158" s="37">
        <f>'📝 Nhật Ký'!D155</f>
        <v>0</v>
      </c>
      <c r="E158" s="38">
        <f>'📝 Nhật Ký'!M155</f>
        <v>0</v>
      </c>
      <c r="F158" s="39">
        <f>'📝 Nhật Ký'!N155</f>
        <v>0</v>
      </c>
      <c r="G158" s="40">
        <f>'📝 Nhật Ký'!P155</f>
        <v>4000</v>
      </c>
      <c r="H158" s="41">
        <f>IFERROR((G158-MAX($G$5:G158))/MAX($G$5:G158),0)</f>
        <v>-0.1111111111111111</v>
      </c>
    </row>
    <row r="159" spans="2:8" ht="16" customHeight="1" x14ac:dyDescent="0.2">
      <c r="B159" s="35">
        <v>155</v>
      </c>
      <c r="C159" s="36">
        <f>'📝 Nhật Ký'!C156</f>
        <v>0</v>
      </c>
      <c r="D159" s="37">
        <f>'📝 Nhật Ký'!D156</f>
        <v>0</v>
      </c>
      <c r="E159" s="38">
        <f>'📝 Nhật Ký'!M156</f>
        <v>0</v>
      </c>
      <c r="F159" s="39">
        <f>'📝 Nhật Ký'!N156</f>
        <v>0</v>
      </c>
      <c r="G159" s="40">
        <f>'📝 Nhật Ký'!P156</f>
        <v>4000</v>
      </c>
      <c r="H159" s="41">
        <f>IFERROR((G159-MAX($G$5:G159))/MAX($G$5:G159),0)</f>
        <v>-0.1111111111111111</v>
      </c>
    </row>
    <row r="160" spans="2:8" ht="16" customHeight="1" x14ac:dyDescent="0.2">
      <c r="B160" s="35">
        <v>156</v>
      </c>
      <c r="C160" s="36">
        <f>'📝 Nhật Ký'!C157</f>
        <v>0</v>
      </c>
      <c r="D160" s="37">
        <f>'📝 Nhật Ký'!D157</f>
        <v>0</v>
      </c>
      <c r="E160" s="38">
        <f>'📝 Nhật Ký'!M157</f>
        <v>0</v>
      </c>
      <c r="F160" s="39">
        <f>'📝 Nhật Ký'!N157</f>
        <v>0</v>
      </c>
      <c r="G160" s="40">
        <f>'📝 Nhật Ký'!P157</f>
        <v>4000</v>
      </c>
      <c r="H160" s="41">
        <f>IFERROR((G160-MAX($G$5:G160))/MAX($G$5:G160),0)</f>
        <v>-0.1111111111111111</v>
      </c>
    </row>
    <row r="161" spans="2:8" ht="16" customHeight="1" x14ac:dyDescent="0.2">
      <c r="B161" s="35">
        <v>157</v>
      </c>
      <c r="C161" s="36">
        <f>'📝 Nhật Ký'!C158</f>
        <v>0</v>
      </c>
      <c r="D161" s="37">
        <f>'📝 Nhật Ký'!D158</f>
        <v>0</v>
      </c>
      <c r="E161" s="38">
        <f>'📝 Nhật Ký'!M158</f>
        <v>0</v>
      </c>
      <c r="F161" s="39">
        <f>'📝 Nhật Ký'!N158</f>
        <v>0</v>
      </c>
      <c r="G161" s="40">
        <f>'📝 Nhật Ký'!P158</f>
        <v>4000</v>
      </c>
      <c r="H161" s="41">
        <f>IFERROR((G161-MAX($G$5:G161))/MAX($G$5:G161),0)</f>
        <v>-0.1111111111111111</v>
      </c>
    </row>
    <row r="162" spans="2:8" ht="16" customHeight="1" x14ac:dyDescent="0.2">
      <c r="B162" s="35">
        <v>158</v>
      </c>
      <c r="C162" s="36">
        <f>'📝 Nhật Ký'!C159</f>
        <v>0</v>
      </c>
      <c r="D162" s="37">
        <f>'📝 Nhật Ký'!D159</f>
        <v>0</v>
      </c>
      <c r="E162" s="38">
        <f>'📝 Nhật Ký'!M159</f>
        <v>0</v>
      </c>
      <c r="F162" s="39">
        <f>'📝 Nhật Ký'!N159</f>
        <v>0</v>
      </c>
      <c r="G162" s="40">
        <f>'📝 Nhật Ký'!P159</f>
        <v>4000</v>
      </c>
      <c r="H162" s="41">
        <f>IFERROR((G162-MAX($G$5:G162))/MAX($G$5:G162),0)</f>
        <v>-0.1111111111111111</v>
      </c>
    </row>
    <row r="163" spans="2:8" ht="16" customHeight="1" x14ac:dyDescent="0.2">
      <c r="B163" s="35">
        <v>159</v>
      </c>
      <c r="C163" s="36">
        <f>'📝 Nhật Ký'!C160</f>
        <v>0</v>
      </c>
      <c r="D163" s="37">
        <f>'📝 Nhật Ký'!D160</f>
        <v>0</v>
      </c>
      <c r="E163" s="38">
        <f>'📝 Nhật Ký'!M160</f>
        <v>0</v>
      </c>
      <c r="F163" s="39">
        <f>'📝 Nhật Ký'!N160</f>
        <v>0</v>
      </c>
      <c r="G163" s="40">
        <f>'📝 Nhật Ký'!P160</f>
        <v>4000</v>
      </c>
      <c r="H163" s="41">
        <f>IFERROR((G163-MAX($G$5:G163))/MAX($G$5:G163),0)</f>
        <v>-0.1111111111111111</v>
      </c>
    </row>
    <row r="164" spans="2:8" ht="16" customHeight="1" x14ac:dyDescent="0.2">
      <c r="B164" s="35">
        <v>160</v>
      </c>
      <c r="C164" s="36">
        <f>'📝 Nhật Ký'!C161</f>
        <v>0</v>
      </c>
      <c r="D164" s="37">
        <f>'📝 Nhật Ký'!D161</f>
        <v>0</v>
      </c>
      <c r="E164" s="38">
        <f>'📝 Nhật Ký'!M161</f>
        <v>0</v>
      </c>
      <c r="F164" s="39">
        <f>'📝 Nhật Ký'!N161</f>
        <v>0</v>
      </c>
      <c r="G164" s="40">
        <f>'📝 Nhật Ký'!P161</f>
        <v>4000</v>
      </c>
      <c r="H164" s="41">
        <f>IFERROR((G164-MAX($G$5:G164))/MAX($G$5:G164),0)</f>
        <v>-0.1111111111111111</v>
      </c>
    </row>
    <row r="165" spans="2:8" ht="16" customHeight="1" x14ac:dyDescent="0.2">
      <c r="B165" s="35">
        <v>161</v>
      </c>
      <c r="C165" s="36">
        <f>'📝 Nhật Ký'!C162</f>
        <v>0</v>
      </c>
      <c r="D165" s="37">
        <f>'📝 Nhật Ký'!D162</f>
        <v>0</v>
      </c>
      <c r="E165" s="38">
        <f>'📝 Nhật Ký'!M162</f>
        <v>0</v>
      </c>
      <c r="F165" s="39">
        <f>'📝 Nhật Ký'!N162</f>
        <v>0</v>
      </c>
      <c r="G165" s="40">
        <f>'📝 Nhật Ký'!P162</f>
        <v>4000</v>
      </c>
      <c r="H165" s="41">
        <f>IFERROR((G165-MAX($G$5:G165))/MAX($G$5:G165),0)</f>
        <v>-0.1111111111111111</v>
      </c>
    </row>
    <row r="166" spans="2:8" ht="16" customHeight="1" x14ac:dyDescent="0.2">
      <c r="B166" s="35">
        <v>162</v>
      </c>
      <c r="C166" s="36">
        <f>'📝 Nhật Ký'!C163</f>
        <v>0</v>
      </c>
      <c r="D166" s="37">
        <f>'📝 Nhật Ký'!D163</f>
        <v>0</v>
      </c>
      <c r="E166" s="38">
        <f>'📝 Nhật Ký'!M163</f>
        <v>0</v>
      </c>
      <c r="F166" s="39">
        <f>'📝 Nhật Ký'!N163</f>
        <v>0</v>
      </c>
      <c r="G166" s="40">
        <f>'📝 Nhật Ký'!P163</f>
        <v>4000</v>
      </c>
      <c r="H166" s="41">
        <f>IFERROR((G166-MAX($G$5:G166))/MAX($G$5:G166),0)</f>
        <v>-0.1111111111111111</v>
      </c>
    </row>
    <row r="167" spans="2:8" ht="16" customHeight="1" x14ac:dyDescent="0.2">
      <c r="B167" s="35">
        <v>163</v>
      </c>
      <c r="C167" s="36">
        <f>'📝 Nhật Ký'!C164</f>
        <v>0</v>
      </c>
      <c r="D167" s="37">
        <f>'📝 Nhật Ký'!D164</f>
        <v>0</v>
      </c>
      <c r="E167" s="38">
        <f>'📝 Nhật Ký'!M164</f>
        <v>0</v>
      </c>
      <c r="F167" s="39">
        <f>'📝 Nhật Ký'!N164</f>
        <v>0</v>
      </c>
      <c r="G167" s="40">
        <f>'📝 Nhật Ký'!P164</f>
        <v>4000</v>
      </c>
      <c r="H167" s="41">
        <f>IFERROR((G167-MAX($G$5:G167))/MAX($G$5:G167),0)</f>
        <v>-0.1111111111111111</v>
      </c>
    </row>
    <row r="168" spans="2:8" ht="16" customHeight="1" x14ac:dyDescent="0.2">
      <c r="B168" s="35">
        <v>164</v>
      </c>
      <c r="C168" s="36">
        <f>'📝 Nhật Ký'!C165</f>
        <v>0</v>
      </c>
      <c r="D168" s="37">
        <f>'📝 Nhật Ký'!D165</f>
        <v>0</v>
      </c>
      <c r="E168" s="38">
        <f>'📝 Nhật Ký'!M165</f>
        <v>0</v>
      </c>
      <c r="F168" s="39">
        <f>'📝 Nhật Ký'!N165</f>
        <v>0</v>
      </c>
      <c r="G168" s="40">
        <f>'📝 Nhật Ký'!P165</f>
        <v>4000</v>
      </c>
      <c r="H168" s="41">
        <f>IFERROR((G168-MAX($G$5:G168))/MAX($G$5:G168),0)</f>
        <v>-0.1111111111111111</v>
      </c>
    </row>
    <row r="169" spans="2:8" ht="16" customHeight="1" x14ac:dyDescent="0.2">
      <c r="B169" s="35">
        <v>165</v>
      </c>
      <c r="C169" s="36">
        <f>'📝 Nhật Ký'!C166</f>
        <v>0</v>
      </c>
      <c r="D169" s="37">
        <f>'📝 Nhật Ký'!D166</f>
        <v>0</v>
      </c>
      <c r="E169" s="38">
        <f>'📝 Nhật Ký'!M166</f>
        <v>0</v>
      </c>
      <c r="F169" s="39">
        <f>'📝 Nhật Ký'!N166</f>
        <v>0</v>
      </c>
      <c r="G169" s="40">
        <f>'📝 Nhật Ký'!P166</f>
        <v>4000</v>
      </c>
      <c r="H169" s="41">
        <f>IFERROR((G169-MAX($G$5:G169))/MAX($G$5:G169),0)</f>
        <v>-0.1111111111111111</v>
      </c>
    </row>
    <row r="170" spans="2:8" ht="16" customHeight="1" x14ac:dyDescent="0.2">
      <c r="B170" s="35">
        <v>166</v>
      </c>
      <c r="C170" s="36">
        <f>'📝 Nhật Ký'!C167</f>
        <v>0</v>
      </c>
      <c r="D170" s="37">
        <f>'📝 Nhật Ký'!D167</f>
        <v>0</v>
      </c>
      <c r="E170" s="38">
        <f>'📝 Nhật Ký'!M167</f>
        <v>0</v>
      </c>
      <c r="F170" s="39">
        <f>'📝 Nhật Ký'!N167</f>
        <v>0</v>
      </c>
      <c r="G170" s="40">
        <f>'📝 Nhật Ký'!P167</f>
        <v>4000</v>
      </c>
      <c r="H170" s="41">
        <f>IFERROR((G170-MAX($G$5:G170))/MAX($G$5:G170),0)</f>
        <v>-0.1111111111111111</v>
      </c>
    </row>
    <row r="171" spans="2:8" ht="16" customHeight="1" x14ac:dyDescent="0.2">
      <c r="B171" s="35">
        <v>167</v>
      </c>
      <c r="C171" s="36">
        <f>'📝 Nhật Ký'!C168</f>
        <v>0</v>
      </c>
      <c r="D171" s="37">
        <f>'📝 Nhật Ký'!D168</f>
        <v>0</v>
      </c>
      <c r="E171" s="38">
        <f>'📝 Nhật Ký'!M168</f>
        <v>0</v>
      </c>
      <c r="F171" s="39">
        <f>'📝 Nhật Ký'!N168</f>
        <v>0</v>
      </c>
      <c r="G171" s="40">
        <f>'📝 Nhật Ký'!P168</f>
        <v>4000</v>
      </c>
      <c r="H171" s="41">
        <f>IFERROR((G171-MAX($G$5:G171))/MAX($G$5:G171),0)</f>
        <v>-0.1111111111111111</v>
      </c>
    </row>
    <row r="172" spans="2:8" ht="16" customHeight="1" x14ac:dyDescent="0.2">
      <c r="B172" s="35">
        <v>168</v>
      </c>
      <c r="C172" s="36">
        <f>'📝 Nhật Ký'!C169</f>
        <v>0</v>
      </c>
      <c r="D172" s="37">
        <f>'📝 Nhật Ký'!D169</f>
        <v>0</v>
      </c>
      <c r="E172" s="38">
        <f>'📝 Nhật Ký'!M169</f>
        <v>0</v>
      </c>
      <c r="F172" s="39">
        <f>'📝 Nhật Ký'!N169</f>
        <v>0</v>
      </c>
      <c r="G172" s="40">
        <f>'📝 Nhật Ký'!P169</f>
        <v>4000</v>
      </c>
      <c r="H172" s="41">
        <f>IFERROR((G172-MAX($G$5:G172))/MAX($G$5:G172),0)</f>
        <v>-0.1111111111111111</v>
      </c>
    </row>
    <row r="173" spans="2:8" ht="16" customHeight="1" x14ac:dyDescent="0.2">
      <c r="B173" s="35">
        <v>169</v>
      </c>
      <c r="C173" s="36">
        <f>'📝 Nhật Ký'!C170</f>
        <v>0</v>
      </c>
      <c r="D173" s="37">
        <f>'📝 Nhật Ký'!D170</f>
        <v>0</v>
      </c>
      <c r="E173" s="38">
        <f>'📝 Nhật Ký'!M170</f>
        <v>0</v>
      </c>
      <c r="F173" s="39">
        <f>'📝 Nhật Ký'!N170</f>
        <v>0</v>
      </c>
      <c r="G173" s="40">
        <f>'📝 Nhật Ký'!P170</f>
        <v>4000</v>
      </c>
      <c r="H173" s="41">
        <f>IFERROR((G173-MAX($G$5:G173))/MAX($G$5:G173),0)</f>
        <v>-0.1111111111111111</v>
      </c>
    </row>
    <row r="174" spans="2:8" ht="16" customHeight="1" x14ac:dyDescent="0.2">
      <c r="B174" s="35">
        <v>170</v>
      </c>
      <c r="C174" s="36">
        <f>'📝 Nhật Ký'!C171</f>
        <v>0</v>
      </c>
      <c r="D174" s="37">
        <f>'📝 Nhật Ký'!D171</f>
        <v>0</v>
      </c>
      <c r="E174" s="38">
        <f>'📝 Nhật Ký'!M171</f>
        <v>0</v>
      </c>
      <c r="F174" s="39">
        <f>'📝 Nhật Ký'!N171</f>
        <v>0</v>
      </c>
      <c r="G174" s="40">
        <f>'📝 Nhật Ký'!P171</f>
        <v>4000</v>
      </c>
      <c r="H174" s="41">
        <f>IFERROR((G174-MAX($G$5:G174))/MAX($G$5:G174),0)</f>
        <v>-0.1111111111111111</v>
      </c>
    </row>
    <row r="175" spans="2:8" ht="16" customHeight="1" x14ac:dyDescent="0.2">
      <c r="B175" s="35">
        <v>171</v>
      </c>
      <c r="C175" s="36">
        <f>'📝 Nhật Ký'!C172</f>
        <v>0</v>
      </c>
      <c r="D175" s="37">
        <f>'📝 Nhật Ký'!D172</f>
        <v>0</v>
      </c>
      <c r="E175" s="38">
        <f>'📝 Nhật Ký'!M172</f>
        <v>0</v>
      </c>
      <c r="F175" s="39">
        <f>'📝 Nhật Ký'!N172</f>
        <v>0</v>
      </c>
      <c r="G175" s="40">
        <f>'📝 Nhật Ký'!P172</f>
        <v>4000</v>
      </c>
      <c r="H175" s="41">
        <f>IFERROR((G175-MAX($G$5:G175))/MAX($G$5:G175),0)</f>
        <v>-0.1111111111111111</v>
      </c>
    </row>
    <row r="176" spans="2:8" ht="16" customHeight="1" x14ac:dyDescent="0.2">
      <c r="B176" s="35">
        <v>172</v>
      </c>
      <c r="C176" s="36">
        <f>'📝 Nhật Ký'!C173</f>
        <v>0</v>
      </c>
      <c r="D176" s="37">
        <f>'📝 Nhật Ký'!D173</f>
        <v>0</v>
      </c>
      <c r="E176" s="38">
        <f>'📝 Nhật Ký'!M173</f>
        <v>0</v>
      </c>
      <c r="F176" s="39">
        <f>'📝 Nhật Ký'!N173</f>
        <v>0</v>
      </c>
      <c r="G176" s="40">
        <f>'📝 Nhật Ký'!P173</f>
        <v>4000</v>
      </c>
      <c r="H176" s="41">
        <f>IFERROR((G176-MAX($G$5:G176))/MAX($G$5:G176),0)</f>
        <v>-0.1111111111111111</v>
      </c>
    </row>
    <row r="177" spans="2:8" ht="16" customHeight="1" x14ac:dyDescent="0.2">
      <c r="B177" s="35">
        <v>173</v>
      </c>
      <c r="C177" s="36">
        <f>'📝 Nhật Ký'!C174</f>
        <v>0</v>
      </c>
      <c r="D177" s="37">
        <f>'📝 Nhật Ký'!D174</f>
        <v>0</v>
      </c>
      <c r="E177" s="38">
        <f>'📝 Nhật Ký'!M174</f>
        <v>0</v>
      </c>
      <c r="F177" s="39">
        <f>'📝 Nhật Ký'!N174</f>
        <v>0</v>
      </c>
      <c r="G177" s="40">
        <f>'📝 Nhật Ký'!P174</f>
        <v>4000</v>
      </c>
      <c r="H177" s="41">
        <f>IFERROR((G177-MAX($G$5:G177))/MAX($G$5:G177),0)</f>
        <v>-0.1111111111111111</v>
      </c>
    </row>
    <row r="178" spans="2:8" ht="16" customHeight="1" x14ac:dyDescent="0.2">
      <c r="B178" s="35">
        <v>174</v>
      </c>
      <c r="C178" s="36">
        <f>'📝 Nhật Ký'!C175</f>
        <v>0</v>
      </c>
      <c r="D178" s="37">
        <f>'📝 Nhật Ký'!D175</f>
        <v>0</v>
      </c>
      <c r="E178" s="38">
        <f>'📝 Nhật Ký'!M175</f>
        <v>0</v>
      </c>
      <c r="F178" s="39">
        <f>'📝 Nhật Ký'!N175</f>
        <v>0</v>
      </c>
      <c r="G178" s="40">
        <f>'📝 Nhật Ký'!P175</f>
        <v>4000</v>
      </c>
      <c r="H178" s="41">
        <f>IFERROR((G178-MAX($G$5:G178))/MAX($G$5:G178),0)</f>
        <v>-0.1111111111111111</v>
      </c>
    </row>
    <row r="179" spans="2:8" ht="16" customHeight="1" x14ac:dyDescent="0.2">
      <c r="B179" s="35">
        <v>175</v>
      </c>
      <c r="C179" s="36">
        <f>'📝 Nhật Ký'!C176</f>
        <v>0</v>
      </c>
      <c r="D179" s="37">
        <f>'📝 Nhật Ký'!D176</f>
        <v>0</v>
      </c>
      <c r="E179" s="38">
        <f>'📝 Nhật Ký'!M176</f>
        <v>0</v>
      </c>
      <c r="F179" s="39">
        <f>'📝 Nhật Ký'!N176</f>
        <v>0</v>
      </c>
      <c r="G179" s="40">
        <f>'📝 Nhật Ký'!P176</f>
        <v>4000</v>
      </c>
      <c r="H179" s="41">
        <f>IFERROR((G179-MAX($G$5:G179))/MAX($G$5:G179),0)</f>
        <v>-0.1111111111111111</v>
      </c>
    </row>
    <row r="180" spans="2:8" ht="16" customHeight="1" x14ac:dyDescent="0.2">
      <c r="B180" s="35">
        <v>176</v>
      </c>
      <c r="C180" s="36">
        <f>'📝 Nhật Ký'!C177</f>
        <v>0</v>
      </c>
      <c r="D180" s="37">
        <f>'📝 Nhật Ký'!D177</f>
        <v>0</v>
      </c>
      <c r="E180" s="38">
        <f>'📝 Nhật Ký'!M177</f>
        <v>0</v>
      </c>
      <c r="F180" s="39">
        <f>'📝 Nhật Ký'!N177</f>
        <v>0</v>
      </c>
      <c r="G180" s="40">
        <f>'📝 Nhật Ký'!P177</f>
        <v>4000</v>
      </c>
      <c r="H180" s="41">
        <f>IFERROR((G180-MAX($G$5:G180))/MAX($G$5:G180),0)</f>
        <v>-0.1111111111111111</v>
      </c>
    </row>
    <row r="181" spans="2:8" ht="16" customHeight="1" x14ac:dyDescent="0.2">
      <c r="B181" s="35">
        <v>177</v>
      </c>
      <c r="C181" s="36">
        <f>'📝 Nhật Ký'!C178</f>
        <v>0</v>
      </c>
      <c r="D181" s="37">
        <f>'📝 Nhật Ký'!D178</f>
        <v>0</v>
      </c>
      <c r="E181" s="38">
        <f>'📝 Nhật Ký'!M178</f>
        <v>0</v>
      </c>
      <c r="F181" s="39">
        <f>'📝 Nhật Ký'!N178</f>
        <v>0</v>
      </c>
      <c r="G181" s="40">
        <f>'📝 Nhật Ký'!P178</f>
        <v>4000</v>
      </c>
      <c r="H181" s="41">
        <f>IFERROR((G181-MAX($G$5:G181))/MAX($G$5:G181),0)</f>
        <v>-0.1111111111111111</v>
      </c>
    </row>
    <row r="182" spans="2:8" ht="16" customHeight="1" x14ac:dyDescent="0.2">
      <c r="B182" s="35">
        <v>178</v>
      </c>
      <c r="C182" s="36">
        <f>'📝 Nhật Ký'!C179</f>
        <v>0</v>
      </c>
      <c r="D182" s="37">
        <f>'📝 Nhật Ký'!D179</f>
        <v>0</v>
      </c>
      <c r="E182" s="38">
        <f>'📝 Nhật Ký'!M179</f>
        <v>0</v>
      </c>
      <c r="F182" s="39">
        <f>'📝 Nhật Ký'!N179</f>
        <v>0</v>
      </c>
      <c r="G182" s="40">
        <f>'📝 Nhật Ký'!P179</f>
        <v>4000</v>
      </c>
      <c r="H182" s="41">
        <f>IFERROR((G182-MAX($G$5:G182))/MAX($G$5:G182),0)</f>
        <v>-0.1111111111111111</v>
      </c>
    </row>
    <row r="183" spans="2:8" ht="16" customHeight="1" x14ac:dyDescent="0.2">
      <c r="B183" s="35">
        <v>179</v>
      </c>
      <c r="C183" s="36">
        <f>'📝 Nhật Ký'!C180</f>
        <v>0</v>
      </c>
      <c r="D183" s="37">
        <f>'📝 Nhật Ký'!D180</f>
        <v>0</v>
      </c>
      <c r="E183" s="38">
        <f>'📝 Nhật Ký'!M180</f>
        <v>0</v>
      </c>
      <c r="F183" s="39">
        <f>'📝 Nhật Ký'!N180</f>
        <v>0</v>
      </c>
      <c r="G183" s="40">
        <f>'📝 Nhật Ký'!P180</f>
        <v>4000</v>
      </c>
      <c r="H183" s="41">
        <f>IFERROR((G183-MAX($G$5:G183))/MAX($G$5:G183),0)</f>
        <v>-0.1111111111111111</v>
      </c>
    </row>
    <row r="184" spans="2:8" ht="16" customHeight="1" x14ac:dyDescent="0.2">
      <c r="B184" s="35">
        <v>180</v>
      </c>
      <c r="C184" s="36">
        <f>'📝 Nhật Ký'!C181</f>
        <v>0</v>
      </c>
      <c r="D184" s="37">
        <f>'📝 Nhật Ký'!D181</f>
        <v>0</v>
      </c>
      <c r="E184" s="38">
        <f>'📝 Nhật Ký'!M181</f>
        <v>0</v>
      </c>
      <c r="F184" s="39">
        <f>'📝 Nhật Ký'!N181</f>
        <v>0</v>
      </c>
      <c r="G184" s="40">
        <f>'📝 Nhật Ký'!P181</f>
        <v>4000</v>
      </c>
      <c r="H184" s="41">
        <f>IFERROR((G184-MAX($G$5:G184))/MAX($G$5:G184),0)</f>
        <v>-0.1111111111111111</v>
      </c>
    </row>
    <row r="185" spans="2:8" ht="16" customHeight="1" x14ac:dyDescent="0.2">
      <c r="B185" s="35">
        <v>181</v>
      </c>
      <c r="C185" s="36">
        <f>'📝 Nhật Ký'!C182</f>
        <v>0</v>
      </c>
      <c r="D185" s="37">
        <f>'📝 Nhật Ký'!D182</f>
        <v>0</v>
      </c>
      <c r="E185" s="38">
        <f>'📝 Nhật Ký'!M182</f>
        <v>0</v>
      </c>
      <c r="F185" s="39">
        <f>'📝 Nhật Ký'!N182</f>
        <v>0</v>
      </c>
      <c r="G185" s="40">
        <f>'📝 Nhật Ký'!P182</f>
        <v>4000</v>
      </c>
      <c r="H185" s="41">
        <f>IFERROR((G185-MAX($G$5:G185))/MAX($G$5:G185),0)</f>
        <v>-0.1111111111111111</v>
      </c>
    </row>
    <row r="186" spans="2:8" ht="16" customHeight="1" x14ac:dyDescent="0.2">
      <c r="B186" s="35">
        <v>182</v>
      </c>
      <c r="C186" s="36">
        <f>'📝 Nhật Ký'!C183</f>
        <v>0</v>
      </c>
      <c r="D186" s="37">
        <f>'📝 Nhật Ký'!D183</f>
        <v>0</v>
      </c>
      <c r="E186" s="38">
        <f>'📝 Nhật Ký'!M183</f>
        <v>0</v>
      </c>
      <c r="F186" s="39">
        <f>'📝 Nhật Ký'!N183</f>
        <v>0</v>
      </c>
      <c r="G186" s="40">
        <f>'📝 Nhật Ký'!P183</f>
        <v>4000</v>
      </c>
      <c r="H186" s="41">
        <f>IFERROR((G186-MAX($G$5:G186))/MAX($G$5:G186),0)</f>
        <v>-0.1111111111111111</v>
      </c>
    </row>
    <row r="187" spans="2:8" ht="16" customHeight="1" x14ac:dyDescent="0.2">
      <c r="B187" s="35">
        <v>183</v>
      </c>
      <c r="C187" s="36">
        <f>'📝 Nhật Ký'!C184</f>
        <v>0</v>
      </c>
      <c r="D187" s="37">
        <f>'📝 Nhật Ký'!D184</f>
        <v>0</v>
      </c>
      <c r="E187" s="38">
        <f>'📝 Nhật Ký'!M184</f>
        <v>0</v>
      </c>
      <c r="F187" s="39">
        <f>'📝 Nhật Ký'!N184</f>
        <v>0</v>
      </c>
      <c r="G187" s="40">
        <f>'📝 Nhật Ký'!P184</f>
        <v>4000</v>
      </c>
      <c r="H187" s="41">
        <f>IFERROR((G187-MAX($G$5:G187))/MAX($G$5:G187),0)</f>
        <v>-0.1111111111111111</v>
      </c>
    </row>
    <row r="188" spans="2:8" ht="16" customHeight="1" x14ac:dyDescent="0.2">
      <c r="B188" s="35">
        <v>184</v>
      </c>
      <c r="C188" s="36">
        <f>'📝 Nhật Ký'!C185</f>
        <v>0</v>
      </c>
      <c r="D188" s="37">
        <f>'📝 Nhật Ký'!D185</f>
        <v>0</v>
      </c>
      <c r="E188" s="38">
        <f>'📝 Nhật Ký'!M185</f>
        <v>0</v>
      </c>
      <c r="F188" s="39">
        <f>'📝 Nhật Ký'!N185</f>
        <v>0</v>
      </c>
      <c r="G188" s="40">
        <f>'📝 Nhật Ký'!P185</f>
        <v>4000</v>
      </c>
      <c r="H188" s="41">
        <f>IFERROR((G188-MAX($G$5:G188))/MAX($G$5:G188),0)</f>
        <v>-0.1111111111111111</v>
      </c>
    </row>
    <row r="189" spans="2:8" ht="16" customHeight="1" x14ac:dyDescent="0.2">
      <c r="B189" s="35">
        <v>185</v>
      </c>
      <c r="C189" s="36">
        <f>'📝 Nhật Ký'!C186</f>
        <v>0</v>
      </c>
      <c r="D189" s="37">
        <f>'📝 Nhật Ký'!D186</f>
        <v>0</v>
      </c>
      <c r="E189" s="38">
        <f>'📝 Nhật Ký'!M186</f>
        <v>0</v>
      </c>
      <c r="F189" s="39">
        <f>'📝 Nhật Ký'!N186</f>
        <v>0</v>
      </c>
      <c r="G189" s="40">
        <f>'📝 Nhật Ký'!P186</f>
        <v>4000</v>
      </c>
      <c r="H189" s="41">
        <f>IFERROR((G189-MAX($G$5:G189))/MAX($G$5:G189),0)</f>
        <v>-0.1111111111111111</v>
      </c>
    </row>
    <row r="190" spans="2:8" ht="16" customHeight="1" x14ac:dyDescent="0.2">
      <c r="B190" s="35">
        <v>186</v>
      </c>
      <c r="C190" s="36">
        <f>'📝 Nhật Ký'!C187</f>
        <v>0</v>
      </c>
      <c r="D190" s="37">
        <f>'📝 Nhật Ký'!D187</f>
        <v>0</v>
      </c>
      <c r="E190" s="38">
        <f>'📝 Nhật Ký'!M187</f>
        <v>0</v>
      </c>
      <c r="F190" s="39">
        <f>'📝 Nhật Ký'!N187</f>
        <v>0</v>
      </c>
      <c r="G190" s="40">
        <f>'📝 Nhật Ký'!P187</f>
        <v>4000</v>
      </c>
      <c r="H190" s="41">
        <f>IFERROR((G190-MAX($G$5:G190))/MAX($G$5:G190),0)</f>
        <v>-0.1111111111111111</v>
      </c>
    </row>
    <row r="191" spans="2:8" ht="16" customHeight="1" x14ac:dyDescent="0.2">
      <c r="B191" s="35">
        <v>187</v>
      </c>
      <c r="C191" s="36">
        <f>'📝 Nhật Ký'!C188</f>
        <v>0</v>
      </c>
      <c r="D191" s="37">
        <f>'📝 Nhật Ký'!D188</f>
        <v>0</v>
      </c>
      <c r="E191" s="38">
        <f>'📝 Nhật Ký'!M188</f>
        <v>0</v>
      </c>
      <c r="F191" s="39">
        <f>'📝 Nhật Ký'!N188</f>
        <v>0</v>
      </c>
      <c r="G191" s="40">
        <f>'📝 Nhật Ký'!P188</f>
        <v>4000</v>
      </c>
      <c r="H191" s="41">
        <f>IFERROR((G191-MAX($G$5:G191))/MAX($G$5:G191),0)</f>
        <v>-0.1111111111111111</v>
      </c>
    </row>
    <row r="192" spans="2:8" ht="16" customHeight="1" x14ac:dyDescent="0.2">
      <c r="B192" s="35">
        <v>188</v>
      </c>
      <c r="C192" s="36">
        <f>'📝 Nhật Ký'!C189</f>
        <v>0</v>
      </c>
      <c r="D192" s="37">
        <f>'📝 Nhật Ký'!D189</f>
        <v>0</v>
      </c>
      <c r="E192" s="38">
        <f>'📝 Nhật Ký'!M189</f>
        <v>0</v>
      </c>
      <c r="F192" s="39">
        <f>'📝 Nhật Ký'!N189</f>
        <v>0</v>
      </c>
      <c r="G192" s="40">
        <f>'📝 Nhật Ký'!P189</f>
        <v>4000</v>
      </c>
      <c r="H192" s="41">
        <f>IFERROR((G192-MAX($G$5:G192))/MAX($G$5:G192),0)</f>
        <v>-0.1111111111111111</v>
      </c>
    </row>
    <row r="193" spans="2:8" ht="16" customHeight="1" x14ac:dyDescent="0.2">
      <c r="B193" s="35">
        <v>189</v>
      </c>
      <c r="C193" s="36">
        <f>'📝 Nhật Ký'!C190</f>
        <v>0</v>
      </c>
      <c r="D193" s="37">
        <f>'📝 Nhật Ký'!D190</f>
        <v>0</v>
      </c>
      <c r="E193" s="38">
        <f>'📝 Nhật Ký'!M190</f>
        <v>0</v>
      </c>
      <c r="F193" s="39">
        <f>'📝 Nhật Ký'!N190</f>
        <v>0</v>
      </c>
      <c r="G193" s="40">
        <f>'📝 Nhật Ký'!P190</f>
        <v>4000</v>
      </c>
      <c r="H193" s="41">
        <f>IFERROR((G193-MAX($G$5:G193))/MAX($G$5:G193),0)</f>
        <v>-0.1111111111111111</v>
      </c>
    </row>
    <row r="194" spans="2:8" ht="16" customHeight="1" x14ac:dyDescent="0.2">
      <c r="B194" s="35">
        <v>190</v>
      </c>
      <c r="C194" s="36">
        <f>'📝 Nhật Ký'!C191</f>
        <v>0</v>
      </c>
      <c r="D194" s="37">
        <f>'📝 Nhật Ký'!D191</f>
        <v>0</v>
      </c>
      <c r="E194" s="38">
        <f>'📝 Nhật Ký'!M191</f>
        <v>0</v>
      </c>
      <c r="F194" s="39">
        <f>'📝 Nhật Ký'!N191</f>
        <v>0</v>
      </c>
      <c r="G194" s="40">
        <f>'📝 Nhật Ký'!P191</f>
        <v>4000</v>
      </c>
      <c r="H194" s="41">
        <f>IFERROR((G194-MAX($G$5:G194))/MAX($G$5:G194),0)</f>
        <v>-0.1111111111111111</v>
      </c>
    </row>
    <row r="195" spans="2:8" ht="16" customHeight="1" x14ac:dyDescent="0.2">
      <c r="B195" s="35">
        <v>191</v>
      </c>
      <c r="C195" s="36">
        <f>'📝 Nhật Ký'!C192</f>
        <v>0</v>
      </c>
      <c r="D195" s="37">
        <f>'📝 Nhật Ký'!D192</f>
        <v>0</v>
      </c>
      <c r="E195" s="38">
        <f>'📝 Nhật Ký'!M192</f>
        <v>0</v>
      </c>
      <c r="F195" s="39">
        <f>'📝 Nhật Ký'!N192</f>
        <v>0</v>
      </c>
      <c r="G195" s="40">
        <f>'📝 Nhật Ký'!P192</f>
        <v>4000</v>
      </c>
      <c r="H195" s="41">
        <f>IFERROR((G195-MAX($G$5:G195))/MAX($G$5:G195),0)</f>
        <v>-0.1111111111111111</v>
      </c>
    </row>
    <row r="196" spans="2:8" ht="16" customHeight="1" x14ac:dyDescent="0.2">
      <c r="B196" s="35">
        <v>192</v>
      </c>
      <c r="C196" s="36">
        <f>'📝 Nhật Ký'!C193</f>
        <v>0</v>
      </c>
      <c r="D196" s="37">
        <f>'📝 Nhật Ký'!D193</f>
        <v>0</v>
      </c>
      <c r="E196" s="38">
        <f>'📝 Nhật Ký'!M193</f>
        <v>0</v>
      </c>
      <c r="F196" s="39">
        <f>'📝 Nhật Ký'!N193</f>
        <v>0</v>
      </c>
      <c r="G196" s="40">
        <f>'📝 Nhật Ký'!P193</f>
        <v>4000</v>
      </c>
      <c r="H196" s="41">
        <f>IFERROR((G196-MAX($G$5:G196))/MAX($G$5:G196),0)</f>
        <v>-0.1111111111111111</v>
      </c>
    </row>
    <row r="197" spans="2:8" ht="16" customHeight="1" x14ac:dyDescent="0.2">
      <c r="B197" s="35">
        <v>193</v>
      </c>
      <c r="C197" s="36">
        <f>'📝 Nhật Ký'!C194</f>
        <v>0</v>
      </c>
      <c r="D197" s="37">
        <f>'📝 Nhật Ký'!D194</f>
        <v>0</v>
      </c>
      <c r="E197" s="38">
        <f>'📝 Nhật Ký'!M194</f>
        <v>0</v>
      </c>
      <c r="F197" s="39">
        <f>'📝 Nhật Ký'!N194</f>
        <v>0</v>
      </c>
      <c r="G197" s="40">
        <f>'📝 Nhật Ký'!P194</f>
        <v>4000</v>
      </c>
      <c r="H197" s="41">
        <f>IFERROR((G197-MAX($G$5:G197))/MAX($G$5:G197),0)</f>
        <v>-0.1111111111111111</v>
      </c>
    </row>
    <row r="198" spans="2:8" ht="16" customHeight="1" x14ac:dyDescent="0.2">
      <c r="B198" s="35">
        <v>194</v>
      </c>
      <c r="C198" s="36">
        <f>'📝 Nhật Ký'!C195</f>
        <v>0</v>
      </c>
      <c r="D198" s="37">
        <f>'📝 Nhật Ký'!D195</f>
        <v>0</v>
      </c>
      <c r="E198" s="38">
        <f>'📝 Nhật Ký'!M195</f>
        <v>0</v>
      </c>
      <c r="F198" s="39">
        <f>'📝 Nhật Ký'!N195</f>
        <v>0</v>
      </c>
      <c r="G198" s="40">
        <f>'📝 Nhật Ký'!P195</f>
        <v>4000</v>
      </c>
      <c r="H198" s="41">
        <f>IFERROR((G198-MAX($G$5:G198))/MAX($G$5:G198),0)</f>
        <v>-0.1111111111111111</v>
      </c>
    </row>
    <row r="199" spans="2:8" ht="16" customHeight="1" x14ac:dyDescent="0.2">
      <c r="B199" s="35">
        <v>195</v>
      </c>
      <c r="C199" s="36">
        <f>'📝 Nhật Ký'!C196</f>
        <v>0</v>
      </c>
      <c r="D199" s="37">
        <f>'📝 Nhật Ký'!D196</f>
        <v>0</v>
      </c>
      <c r="E199" s="38">
        <f>'📝 Nhật Ký'!M196</f>
        <v>0</v>
      </c>
      <c r="F199" s="39">
        <f>'📝 Nhật Ký'!N196</f>
        <v>0</v>
      </c>
      <c r="G199" s="40">
        <f>'📝 Nhật Ký'!P196</f>
        <v>4000</v>
      </c>
      <c r="H199" s="41">
        <f>IFERROR((G199-MAX($G$5:G199))/MAX($G$5:G199),0)</f>
        <v>-0.1111111111111111</v>
      </c>
    </row>
    <row r="200" spans="2:8" ht="16" customHeight="1" x14ac:dyDescent="0.2">
      <c r="B200" s="35">
        <v>196</v>
      </c>
      <c r="C200" s="36">
        <f>'📝 Nhật Ký'!C197</f>
        <v>0</v>
      </c>
      <c r="D200" s="37">
        <f>'📝 Nhật Ký'!D197</f>
        <v>0</v>
      </c>
      <c r="E200" s="38">
        <f>'📝 Nhật Ký'!M197</f>
        <v>0</v>
      </c>
      <c r="F200" s="39">
        <f>'📝 Nhật Ký'!N197</f>
        <v>0</v>
      </c>
      <c r="G200" s="40">
        <f>'📝 Nhật Ký'!P197</f>
        <v>4000</v>
      </c>
      <c r="H200" s="41">
        <f>IFERROR((G200-MAX($G$5:G200))/MAX($G$5:G200),0)</f>
        <v>-0.1111111111111111</v>
      </c>
    </row>
    <row r="201" spans="2:8" ht="16" customHeight="1" x14ac:dyDescent="0.2">
      <c r="B201" s="35">
        <v>197</v>
      </c>
      <c r="C201" s="36">
        <f>'📝 Nhật Ký'!C198</f>
        <v>0</v>
      </c>
      <c r="D201" s="37">
        <f>'📝 Nhật Ký'!D198</f>
        <v>0</v>
      </c>
      <c r="E201" s="38">
        <f>'📝 Nhật Ký'!M198</f>
        <v>0</v>
      </c>
      <c r="F201" s="39">
        <f>'📝 Nhật Ký'!N198</f>
        <v>0</v>
      </c>
      <c r="G201" s="40">
        <f>'📝 Nhật Ký'!P198</f>
        <v>4000</v>
      </c>
      <c r="H201" s="41">
        <f>IFERROR((G201-MAX($G$5:G201))/MAX($G$5:G201),0)</f>
        <v>-0.1111111111111111</v>
      </c>
    </row>
    <row r="202" spans="2:8" ht="16" customHeight="1" x14ac:dyDescent="0.2">
      <c r="B202" s="35">
        <v>198</v>
      </c>
      <c r="C202" s="36">
        <f>'📝 Nhật Ký'!C199</f>
        <v>0</v>
      </c>
      <c r="D202" s="37">
        <f>'📝 Nhật Ký'!D199</f>
        <v>0</v>
      </c>
      <c r="E202" s="38">
        <f>'📝 Nhật Ký'!M199</f>
        <v>0</v>
      </c>
      <c r="F202" s="39">
        <f>'📝 Nhật Ký'!N199</f>
        <v>0</v>
      </c>
      <c r="G202" s="40">
        <f>'📝 Nhật Ký'!P199</f>
        <v>4000</v>
      </c>
      <c r="H202" s="41">
        <f>IFERROR((G202-MAX($G$5:G202))/MAX($G$5:G202),0)</f>
        <v>-0.1111111111111111</v>
      </c>
    </row>
    <row r="203" spans="2:8" ht="16" customHeight="1" x14ac:dyDescent="0.2">
      <c r="B203" s="35">
        <v>199</v>
      </c>
      <c r="C203" s="36">
        <f>'📝 Nhật Ký'!C200</f>
        <v>0</v>
      </c>
      <c r="D203" s="37">
        <f>'📝 Nhật Ký'!D200</f>
        <v>0</v>
      </c>
      <c r="E203" s="38">
        <f>'📝 Nhật Ký'!M200</f>
        <v>0</v>
      </c>
      <c r="F203" s="39">
        <f>'📝 Nhật Ký'!N200</f>
        <v>0</v>
      </c>
      <c r="G203" s="40">
        <f>'📝 Nhật Ký'!P200</f>
        <v>4000</v>
      </c>
      <c r="H203" s="41">
        <f>IFERROR((G203-MAX($G$5:G203))/MAX($G$5:G203),0)</f>
        <v>-0.1111111111111111</v>
      </c>
    </row>
    <row r="204" spans="2:8" ht="16" customHeight="1" x14ac:dyDescent="0.2">
      <c r="B204" s="35">
        <v>200</v>
      </c>
      <c r="C204" s="36">
        <f>'📝 Nhật Ký'!C201</f>
        <v>0</v>
      </c>
      <c r="D204" s="37">
        <f>'📝 Nhật Ký'!D201</f>
        <v>0</v>
      </c>
      <c r="E204" s="38">
        <f>'📝 Nhật Ký'!M201</f>
        <v>0</v>
      </c>
      <c r="F204" s="39">
        <f>'📝 Nhật Ký'!N201</f>
        <v>0</v>
      </c>
      <c r="G204" s="40">
        <f>'📝 Nhật Ký'!P201</f>
        <v>4000</v>
      </c>
      <c r="H204" s="41">
        <f>IFERROR((G204-MAX($G$5:G204))/MAX($G$5:G204),0)</f>
        <v>-0.1111111111111111</v>
      </c>
    </row>
    <row r="209" spans="2:8" ht="8" customHeight="1" x14ac:dyDescent="0.2"/>
    <row r="210" spans="2:8" ht="36" customHeight="1" x14ac:dyDescent="0.2">
      <c r="B210" s="214" t="s">
        <v>126</v>
      </c>
      <c r="C210" s="174"/>
      <c r="D210" s="174"/>
      <c r="E210" s="174"/>
      <c r="F210" s="174"/>
      <c r="G210" s="174"/>
      <c r="H210" s="175"/>
    </row>
    <row r="211" spans="2:8" x14ac:dyDescent="0.2">
      <c r="B211" s="15" t="s">
        <v>127</v>
      </c>
      <c r="C211" s="33" t="s">
        <v>66</v>
      </c>
      <c r="D211" s="33" t="s">
        <v>25</v>
      </c>
      <c r="E211" s="33" t="s">
        <v>67</v>
      </c>
      <c r="F211" s="32" t="s">
        <v>128</v>
      </c>
      <c r="G211" s="34" t="s">
        <v>129</v>
      </c>
      <c r="H211" s="15" t="s">
        <v>130</v>
      </c>
    </row>
    <row r="212" spans="2:8" ht="18" customHeight="1" x14ac:dyDescent="0.2">
      <c r="B212" s="42" t="s">
        <v>131</v>
      </c>
      <c r="C212" s="13">
        <f>COUNTIFS('📝 Nhật Ký'!B2:B201,"&gt;="&amp;DATE(2025,1,1),'📝 Nhật Ký'!B2:B201,"&lt;"&amp;DATE(2025,2,1))</f>
        <v>0</v>
      </c>
      <c r="D212" s="13">
        <f>COUNTIFS('📝 Nhật Ký'!B2:B201,"&gt;="&amp;DATE(2025,1,1),'📝 Nhật Ký'!B2:B201,"&lt;"&amp;DATE(2025,2,1),'📝 Nhật Ký'!M2:M201,"Thắng")</f>
        <v>0</v>
      </c>
      <c r="E212" s="43" t="str">
        <f t="shared" ref="E212:E229" si="0">IFERROR(D212/C212,"—")</f>
        <v>—</v>
      </c>
      <c r="F212" s="44">
        <f>SUMIFS('📝 Nhật Ký'!N2:N201,'📝 Nhật Ký'!B2:B201,"&gt;="&amp;DATE(2025,1,1),'📝 Nhật Ký'!B2:B201,"&lt;"&amp;DATE(2025,2,1),'📝 Nhật Ký'!N2:N201,"&gt;0")</f>
        <v>0</v>
      </c>
      <c r="G212" s="45">
        <f>SUMIFS('📝 Nhật Ký'!N2:N201,'📝 Nhật Ký'!B2:B201,"&gt;="&amp;DATE(2025,1,1),'📝 Nhật Ký'!B2:B201,"&lt;"&amp;DATE(2025,2,1),'📝 Nhật Ký'!N2:N201,"&lt;0")</f>
        <v>0</v>
      </c>
      <c r="H212" s="46">
        <f t="shared" ref="H212:H229" si="1">F212+G212</f>
        <v>0</v>
      </c>
    </row>
    <row r="213" spans="2:8" ht="18" customHeight="1" x14ac:dyDescent="0.2">
      <c r="B213" s="42" t="s">
        <v>132</v>
      </c>
      <c r="C213" s="13">
        <f>COUNTIFS('📝 Nhật Ký'!B2:B201,"&gt;="&amp;DATE(2025,2,1),'📝 Nhật Ký'!B2:B201,"&lt;"&amp;DATE(2025,3,1))</f>
        <v>0</v>
      </c>
      <c r="D213" s="13">
        <f>COUNTIFS('📝 Nhật Ký'!B2:B201,"&gt;="&amp;DATE(2025,2,1),'📝 Nhật Ký'!B2:B201,"&lt;"&amp;DATE(2025,3,1),'📝 Nhật Ký'!M2:M201,"Thắng")</f>
        <v>0</v>
      </c>
      <c r="E213" s="43" t="str">
        <f t="shared" si="0"/>
        <v>—</v>
      </c>
      <c r="F213" s="44">
        <f>SUMIFS('📝 Nhật Ký'!N2:N201,'📝 Nhật Ký'!B2:B201,"&gt;="&amp;DATE(2025,2,1),'📝 Nhật Ký'!B2:B201,"&lt;"&amp;DATE(2025,3,1),'📝 Nhật Ký'!N2:N201,"&gt;0")</f>
        <v>0</v>
      </c>
      <c r="G213" s="45">
        <f>SUMIFS('📝 Nhật Ký'!N2:N201,'📝 Nhật Ký'!B2:B201,"&gt;="&amp;DATE(2025,2,1),'📝 Nhật Ký'!B2:B201,"&lt;"&amp;DATE(2025,3,1),'📝 Nhật Ký'!N2:N201,"&lt;0")</f>
        <v>0</v>
      </c>
      <c r="H213" s="46">
        <f t="shared" si="1"/>
        <v>0</v>
      </c>
    </row>
    <row r="214" spans="2:8" ht="18" customHeight="1" x14ac:dyDescent="0.2">
      <c r="B214" s="42" t="s">
        <v>133</v>
      </c>
      <c r="C214" s="13">
        <f>COUNTIFS('📝 Nhật Ký'!B2:B201,"&gt;="&amp;DATE(2025,3,1),'📝 Nhật Ký'!B2:B201,"&lt;"&amp;DATE(2025,4,1))</f>
        <v>0</v>
      </c>
      <c r="D214" s="13">
        <f>COUNTIFS('📝 Nhật Ký'!B2:B201,"&gt;="&amp;DATE(2025,3,1),'📝 Nhật Ký'!B2:B201,"&lt;"&amp;DATE(2025,4,1),'📝 Nhật Ký'!M2:M201,"Thắng")</f>
        <v>0</v>
      </c>
      <c r="E214" s="43" t="str">
        <f t="shared" si="0"/>
        <v>—</v>
      </c>
      <c r="F214" s="44">
        <f>SUMIFS('📝 Nhật Ký'!N2:N201,'📝 Nhật Ký'!B2:B201,"&gt;="&amp;DATE(2025,3,1),'📝 Nhật Ký'!B2:B201,"&lt;"&amp;DATE(2025,4,1),'📝 Nhật Ký'!N2:N201,"&gt;0")</f>
        <v>0</v>
      </c>
      <c r="G214" s="45">
        <f>SUMIFS('📝 Nhật Ký'!N2:N201,'📝 Nhật Ký'!B2:B201,"&gt;="&amp;DATE(2025,3,1),'📝 Nhật Ký'!B2:B201,"&lt;"&amp;DATE(2025,4,1),'📝 Nhật Ký'!N2:N201,"&lt;0")</f>
        <v>0</v>
      </c>
      <c r="H214" s="46">
        <f t="shared" si="1"/>
        <v>0</v>
      </c>
    </row>
    <row r="215" spans="2:8" ht="18" customHeight="1" x14ac:dyDescent="0.2">
      <c r="B215" s="42" t="s">
        <v>134</v>
      </c>
      <c r="C215" s="13">
        <f>COUNTIFS('📝 Nhật Ký'!B2:B201,"&gt;="&amp;DATE(2025,4,1),'📝 Nhật Ký'!B2:B201,"&lt;"&amp;DATE(2025,5,1))</f>
        <v>0</v>
      </c>
      <c r="D215" s="13">
        <f>COUNTIFS('📝 Nhật Ký'!B2:B201,"&gt;="&amp;DATE(2025,4,1),'📝 Nhật Ký'!B2:B201,"&lt;"&amp;DATE(2025,5,1),'📝 Nhật Ký'!M2:M201,"Thắng")</f>
        <v>0</v>
      </c>
      <c r="E215" s="43" t="str">
        <f t="shared" si="0"/>
        <v>—</v>
      </c>
      <c r="F215" s="44">
        <f>SUMIFS('📝 Nhật Ký'!N2:N201,'📝 Nhật Ký'!B2:B201,"&gt;="&amp;DATE(2025,4,1),'📝 Nhật Ký'!B2:B201,"&lt;"&amp;DATE(2025,5,1),'📝 Nhật Ký'!N2:N201,"&gt;0")</f>
        <v>0</v>
      </c>
      <c r="G215" s="45">
        <f>SUMIFS('📝 Nhật Ký'!N2:N201,'📝 Nhật Ký'!B2:B201,"&gt;="&amp;DATE(2025,4,1),'📝 Nhật Ký'!B2:B201,"&lt;"&amp;DATE(2025,5,1),'📝 Nhật Ký'!N2:N201,"&lt;0")</f>
        <v>0</v>
      </c>
      <c r="H215" s="46">
        <f t="shared" si="1"/>
        <v>0</v>
      </c>
    </row>
    <row r="216" spans="2:8" ht="18" customHeight="1" x14ac:dyDescent="0.2">
      <c r="B216" s="42" t="s">
        <v>135</v>
      </c>
      <c r="C216" s="13">
        <f>COUNTIFS('📝 Nhật Ký'!B2:B201,"&gt;="&amp;DATE(2025,5,1),'📝 Nhật Ký'!B2:B201,"&lt;"&amp;DATE(2025,6,1))</f>
        <v>0</v>
      </c>
      <c r="D216" s="13">
        <f>COUNTIFS('📝 Nhật Ký'!B2:B201,"&gt;="&amp;DATE(2025,5,1),'📝 Nhật Ký'!B2:B201,"&lt;"&amp;DATE(2025,6,1),'📝 Nhật Ký'!M2:M201,"Thắng")</f>
        <v>0</v>
      </c>
      <c r="E216" s="43" t="str">
        <f t="shared" si="0"/>
        <v>—</v>
      </c>
      <c r="F216" s="44">
        <f>SUMIFS('📝 Nhật Ký'!N2:N201,'📝 Nhật Ký'!B2:B201,"&gt;="&amp;DATE(2025,5,1),'📝 Nhật Ký'!B2:B201,"&lt;"&amp;DATE(2025,6,1),'📝 Nhật Ký'!N2:N201,"&gt;0")</f>
        <v>0</v>
      </c>
      <c r="G216" s="45">
        <f>SUMIFS('📝 Nhật Ký'!N2:N201,'📝 Nhật Ký'!B2:B201,"&gt;="&amp;DATE(2025,5,1),'📝 Nhật Ký'!B2:B201,"&lt;"&amp;DATE(2025,6,1),'📝 Nhật Ký'!N2:N201,"&lt;0")</f>
        <v>0</v>
      </c>
      <c r="H216" s="46">
        <f t="shared" si="1"/>
        <v>0</v>
      </c>
    </row>
    <row r="217" spans="2:8" ht="18" customHeight="1" x14ac:dyDescent="0.2">
      <c r="B217" s="42" t="s">
        <v>136</v>
      </c>
      <c r="C217" s="13">
        <f>COUNTIFS('📝 Nhật Ký'!B2:B201,"&gt;="&amp;DATE(2025,6,1),'📝 Nhật Ký'!B2:B201,"&lt;"&amp;DATE(2025,7,1))</f>
        <v>0</v>
      </c>
      <c r="D217" s="13">
        <f>COUNTIFS('📝 Nhật Ký'!B2:B201,"&gt;="&amp;DATE(2025,6,1),'📝 Nhật Ký'!B2:B201,"&lt;"&amp;DATE(2025,7,1),'📝 Nhật Ký'!M2:M201,"Thắng")</f>
        <v>0</v>
      </c>
      <c r="E217" s="43" t="str">
        <f t="shared" si="0"/>
        <v>—</v>
      </c>
      <c r="F217" s="44">
        <f>SUMIFS('📝 Nhật Ký'!N2:N201,'📝 Nhật Ký'!B2:B201,"&gt;="&amp;DATE(2025,6,1),'📝 Nhật Ký'!B2:B201,"&lt;"&amp;DATE(2025,7,1),'📝 Nhật Ký'!N2:N201,"&gt;0")</f>
        <v>0</v>
      </c>
      <c r="G217" s="45">
        <f>SUMIFS('📝 Nhật Ký'!N2:N201,'📝 Nhật Ký'!B2:B201,"&gt;="&amp;DATE(2025,6,1),'📝 Nhật Ký'!B2:B201,"&lt;"&amp;DATE(2025,7,1),'📝 Nhật Ký'!N2:N201,"&lt;0")</f>
        <v>0</v>
      </c>
      <c r="H217" s="46">
        <f t="shared" si="1"/>
        <v>0</v>
      </c>
    </row>
    <row r="218" spans="2:8" ht="18" customHeight="1" x14ac:dyDescent="0.2">
      <c r="B218" s="42" t="s">
        <v>137</v>
      </c>
      <c r="C218" s="13">
        <f>COUNTIFS('📝 Nhật Ký'!B2:B201,"&gt;="&amp;DATE(2025,7,1),'📝 Nhật Ký'!B2:B201,"&lt;"&amp;DATE(2025,8,1))</f>
        <v>0</v>
      </c>
      <c r="D218" s="13">
        <f>COUNTIFS('📝 Nhật Ký'!B2:B201,"&gt;="&amp;DATE(2025,7,1),'📝 Nhật Ký'!B2:B201,"&lt;"&amp;DATE(2025,8,1),'📝 Nhật Ký'!M2:M201,"Thắng")</f>
        <v>0</v>
      </c>
      <c r="E218" s="43" t="str">
        <f t="shared" si="0"/>
        <v>—</v>
      </c>
      <c r="F218" s="44">
        <f>SUMIFS('📝 Nhật Ký'!N2:N201,'📝 Nhật Ký'!B2:B201,"&gt;="&amp;DATE(2025,7,1),'📝 Nhật Ký'!B2:B201,"&lt;"&amp;DATE(2025,8,1),'📝 Nhật Ký'!N2:N201,"&gt;0")</f>
        <v>0</v>
      </c>
      <c r="G218" s="45">
        <f>SUMIFS('📝 Nhật Ký'!N2:N201,'📝 Nhật Ký'!B2:B201,"&gt;="&amp;DATE(2025,7,1),'📝 Nhật Ký'!B2:B201,"&lt;"&amp;DATE(2025,8,1),'📝 Nhật Ký'!N2:N201,"&lt;0")</f>
        <v>0</v>
      </c>
      <c r="H218" s="46">
        <f t="shared" si="1"/>
        <v>0</v>
      </c>
    </row>
    <row r="219" spans="2:8" ht="18" customHeight="1" x14ac:dyDescent="0.2">
      <c r="B219" s="42" t="s">
        <v>138</v>
      </c>
      <c r="C219" s="13">
        <f>COUNTIFS('📝 Nhật Ký'!B2:B201,"&gt;="&amp;DATE(2025,8,1),'📝 Nhật Ký'!B2:B201,"&lt;"&amp;DATE(2025,9,1))</f>
        <v>0</v>
      </c>
      <c r="D219" s="13">
        <f>COUNTIFS('📝 Nhật Ký'!B2:B201,"&gt;="&amp;DATE(2025,8,1),'📝 Nhật Ký'!B2:B201,"&lt;"&amp;DATE(2025,9,1),'📝 Nhật Ký'!M2:M201,"Thắng")</f>
        <v>0</v>
      </c>
      <c r="E219" s="43" t="str">
        <f t="shared" si="0"/>
        <v>—</v>
      </c>
      <c r="F219" s="44">
        <f>SUMIFS('📝 Nhật Ký'!N2:N201,'📝 Nhật Ký'!B2:B201,"&gt;="&amp;DATE(2025,8,1),'📝 Nhật Ký'!B2:B201,"&lt;"&amp;DATE(2025,9,1),'📝 Nhật Ký'!N2:N201,"&gt;0")</f>
        <v>0</v>
      </c>
      <c r="G219" s="45">
        <f>SUMIFS('📝 Nhật Ký'!N2:N201,'📝 Nhật Ký'!B2:B201,"&gt;="&amp;DATE(2025,8,1),'📝 Nhật Ký'!B2:B201,"&lt;"&amp;DATE(2025,9,1),'📝 Nhật Ký'!N2:N201,"&lt;0")</f>
        <v>0</v>
      </c>
      <c r="H219" s="46">
        <f t="shared" si="1"/>
        <v>0</v>
      </c>
    </row>
    <row r="220" spans="2:8" ht="18" customHeight="1" x14ac:dyDescent="0.2">
      <c r="B220" s="42" t="s">
        <v>139</v>
      </c>
      <c r="C220" s="13">
        <f>COUNTIFS('📝 Nhật Ký'!B2:B201,"&gt;="&amp;DATE(2025,9,1),'📝 Nhật Ký'!B2:B201,"&lt;"&amp;DATE(2025,10,1))</f>
        <v>0</v>
      </c>
      <c r="D220" s="13">
        <f>COUNTIFS('📝 Nhật Ký'!B2:B201,"&gt;="&amp;DATE(2025,9,1),'📝 Nhật Ký'!B2:B201,"&lt;"&amp;DATE(2025,10,1),'📝 Nhật Ký'!M2:M201,"Thắng")</f>
        <v>0</v>
      </c>
      <c r="E220" s="43" t="str">
        <f t="shared" si="0"/>
        <v>—</v>
      </c>
      <c r="F220" s="44">
        <f>SUMIFS('📝 Nhật Ký'!N2:N201,'📝 Nhật Ký'!B2:B201,"&gt;="&amp;DATE(2025,9,1),'📝 Nhật Ký'!B2:B201,"&lt;"&amp;DATE(2025,10,1),'📝 Nhật Ký'!N2:N201,"&gt;0")</f>
        <v>0</v>
      </c>
      <c r="G220" s="45">
        <f>SUMIFS('📝 Nhật Ký'!N2:N201,'📝 Nhật Ký'!B2:B201,"&gt;="&amp;DATE(2025,9,1),'📝 Nhật Ký'!B2:B201,"&lt;"&amp;DATE(2025,10,1),'📝 Nhật Ký'!N2:N201,"&lt;0")</f>
        <v>0</v>
      </c>
      <c r="H220" s="46">
        <f t="shared" si="1"/>
        <v>0</v>
      </c>
    </row>
    <row r="221" spans="2:8" ht="18" customHeight="1" x14ac:dyDescent="0.2">
      <c r="B221" s="42" t="s">
        <v>140</v>
      </c>
      <c r="C221" s="13">
        <f>COUNTIFS('📝 Nhật Ký'!B2:B201,"&gt;="&amp;DATE(2025,10,1),'📝 Nhật Ký'!B2:B201,"&lt;"&amp;DATE(2025,11,1))</f>
        <v>0</v>
      </c>
      <c r="D221" s="13">
        <f>COUNTIFS('📝 Nhật Ký'!B2:B201,"&gt;="&amp;DATE(2025,10,1),'📝 Nhật Ký'!B2:B201,"&lt;"&amp;DATE(2025,11,1),'📝 Nhật Ký'!M2:M201,"Thắng")</f>
        <v>0</v>
      </c>
      <c r="E221" s="43" t="str">
        <f t="shared" si="0"/>
        <v>—</v>
      </c>
      <c r="F221" s="44">
        <f>SUMIFS('📝 Nhật Ký'!N2:N201,'📝 Nhật Ký'!B2:B201,"&gt;="&amp;DATE(2025,10,1),'📝 Nhật Ký'!B2:B201,"&lt;"&amp;DATE(2025,11,1),'📝 Nhật Ký'!N2:N201,"&gt;0")</f>
        <v>0</v>
      </c>
      <c r="G221" s="45">
        <f>SUMIFS('📝 Nhật Ký'!N2:N201,'📝 Nhật Ký'!B2:B201,"&gt;="&amp;DATE(2025,10,1),'📝 Nhật Ký'!B2:B201,"&lt;"&amp;DATE(2025,11,1),'📝 Nhật Ký'!N2:N201,"&lt;0")</f>
        <v>0</v>
      </c>
      <c r="H221" s="46">
        <f t="shared" si="1"/>
        <v>0</v>
      </c>
    </row>
    <row r="222" spans="2:8" ht="18" customHeight="1" x14ac:dyDescent="0.2">
      <c r="B222" s="42" t="s">
        <v>141</v>
      </c>
      <c r="C222" s="13">
        <f>COUNTIFS('📝 Nhật Ký'!B2:B201,"&gt;="&amp;DATE(2025,11,1),'📝 Nhật Ký'!B2:B201,"&lt;"&amp;DATE(2025,12,1))</f>
        <v>0</v>
      </c>
      <c r="D222" s="13">
        <f>COUNTIFS('📝 Nhật Ký'!B2:B201,"&gt;="&amp;DATE(2025,11,1),'📝 Nhật Ký'!B2:B201,"&lt;"&amp;DATE(2025,12,1),'📝 Nhật Ký'!M2:M201,"Thắng")</f>
        <v>0</v>
      </c>
      <c r="E222" s="43" t="str">
        <f t="shared" si="0"/>
        <v>—</v>
      </c>
      <c r="F222" s="44">
        <f>SUMIFS('📝 Nhật Ký'!N2:N201,'📝 Nhật Ký'!B2:B201,"&gt;="&amp;DATE(2025,11,1),'📝 Nhật Ký'!B2:B201,"&lt;"&amp;DATE(2025,12,1),'📝 Nhật Ký'!N2:N201,"&gt;0")</f>
        <v>0</v>
      </c>
      <c r="G222" s="45">
        <f>SUMIFS('📝 Nhật Ký'!N2:N201,'📝 Nhật Ký'!B2:B201,"&gt;="&amp;DATE(2025,11,1),'📝 Nhật Ký'!B2:B201,"&lt;"&amp;DATE(2025,12,1),'📝 Nhật Ký'!N2:N201,"&lt;0")</f>
        <v>0</v>
      </c>
      <c r="H222" s="46">
        <f t="shared" si="1"/>
        <v>0</v>
      </c>
    </row>
    <row r="223" spans="2:8" ht="18" customHeight="1" x14ac:dyDescent="0.2">
      <c r="B223" s="42" t="s">
        <v>142</v>
      </c>
      <c r="C223" s="13">
        <f>COUNTIFS('📝 Nhật Ký'!B2:B201,"&gt;="&amp;DATE(2025,12,1),'📝 Nhật Ký'!B2:B201,"&lt;"&amp;DATE(2026,1,1))</f>
        <v>0</v>
      </c>
      <c r="D223" s="13">
        <f>COUNTIFS('📝 Nhật Ký'!B2:B201,"&gt;="&amp;DATE(2025,12,1),'📝 Nhật Ký'!B2:B201,"&lt;"&amp;DATE(2026,1,1),'📝 Nhật Ký'!M2:M201,"Thắng")</f>
        <v>0</v>
      </c>
      <c r="E223" s="43" t="str">
        <f t="shared" si="0"/>
        <v>—</v>
      </c>
      <c r="F223" s="44">
        <f>SUMIFS('📝 Nhật Ký'!N2:N201,'📝 Nhật Ký'!B2:B201,"&gt;="&amp;DATE(2025,12,1),'📝 Nhật Ký'!B2:B201,"&lt;"&amp;DATE(2026,1,1),'📝 Nhật Ký'!N2:N201,"&gt;0")</f>
        <v>0</v>
      </c>
      <c r="G223" s="45">
        <f>SUMIFS('📝 Nhật Ký'!N2:N201,'📝 Nhật Ký'!B2:B201,"&gt;="&amp;DATE(2025,12,1),'📝 Nhật Ký'!B2:B201,"&lt;"&amp;DATE(2026,1,1),'📝 Nhật Ký'!N2:N201,"&lt;0")</f>
        <v>0</v>
      </c>
      <c r="H223" s="46">
        <f t="shared" si="1"/>
        <v>0</v>
      </c>
    </row>
    <row r="224" spans="2:8" ht="18" customHeight="1" x14ac:dyDescent="0.2">
      <c r="B224" s="42" t="s">
        <v>143</v>
      </c>
      <c r="C224" s="13">
        <f>COUNTIFS('📝 Nhật Ký'!B2:B201,"&gt;="&amp;DATE(2026,1,1),'📝 Nhật Ký'!B2:B201,"&lt;"&amp;DATE(2026,2,1))</f>
        <v>0</v>
      </c>
      <c r="D224" s="13">
        <f>COUNTIFS('📝 Nhật Ký'!B2:B201,"&gt;="&amp;DATE(2026,1,1),'📝 Nhật Ký'!B2:B201,"&lt;"&amp;DATE(2026,2,1),'📝 Nhật Ký'!M2:M201,"Thắng")</f>
        <v>0</v>
      </c>
      <c r="E224" s="43" t="str">
        <f t="shared" si="0"/>
        <v>—</v>
      </c>
      <c r="F224" s="44">
        <f>SUMIFS('📝 Nhật Ký'!N2:N201,'📝 Nhật Ký'!B2:B201,"&gt;="&amp;DATE(2026,1,1),'📝 Nhật Ký'!B2:B201,"&lt;"&amp;DATE(2026,2,1),'📝 Nhật Ký'!N2:N201,"&gt;0")</f>
        <v>0</v>
      </c>
      <c r="G224" s="45">
        <f>SUMIFS('📝 Nhật Ký'!N2:N201,'📝 Nhật Ký'!B2:B201,"&gt;="&amp;DATE(2026,1,1),'📝 Nhật Ký'!B2:B201,"&lt;"&amp;DATE(2026,2,1),'📝 Nhật Ký'!N2:N201,"&lt;0")</f>
        <v>0</v>
      </c>
      <c r="H224" s="46">
        <f t="shared" si="1"/>
        <v>0</v>
      </c>
    </row>
    <row r="225" spans="2:8" ht="18" customHeight="1" x14ac:dyDescent="0.2">
      <c r="B225" s="42" t="s">
        <v>144</v>
      </c>
      <c r="C225" s="13">
        <f>COUNTIFS('📝 Nhật Ký'!B2:B201,"&gt;="&amp;DATE(2026,2,1),'📝 Nhật Ký'!B2:B201,"&lt;"&amp;DATE(2026,3,1))</f>
        <v>0</v>
      </c>
      <c r="D225" s="13">
        <f>COUNTIFS('📝 Nhật Ký'!B2:B201,"&gt;="&amp;DATE(2026,2,1),'📝 Nhật Ký'!B2:B201,"&lt;"&amp;DATE(2026,3,1),'📝 Nhật Ký'!M2:M201,"Thắng")</f>
        <v>0</v>
      </c>
      <c r="E225" s="43" t="str">
        <f t="shared" si="0"/>
        <v>—</v>
      </c>
      <c r="F225" s="44">
        <f>SUMIFS('📝 Nhật Ký'!N2:N201,'📝 Nhật Ký'!B2:B201,"&gt;="&amp;DATE(2026,2,1),'📝 Nhật Ký'!B2:B201,"&lt;"&amp;DATE(2026,3,1),'📝 Nhật Ký'!N2:N201,"&gt;0")</f>
        <v>0</v>
      </c>
      <c r="G225" s="45">
        <f>SUMIFS('📝 Nhật Ký'!N2:N201,'📝 Nhật Ký'!B2:B201,"&gt;="&amp;DATE(2026,2,1),'📝 Nhật Ký'!B2:B201,"&lt;"&amp;DATE(2026,3,1),'📝 Nhật Ký'!N2:N201,"&lt;0")</f>
        <v>0</v>
      </c>
      <c r="H225" s="46">
        <f t="shared" si="1"/>
        <v>0</v>
      </c>
    </row>
    <row r="226" spans="2:8" ht="18" customHeight="1" x14ac:dyDescent="0.2">
      <c r="B226" s="42" t="s">
        <v>145</v>
      </c>
      <c r="C226" s="13">
        <f>COUNTIFS('📝 Nhật Ký'!B2:B201,"&gt;="&amp;DATE(2026,3,1),'📝 Nhật Ký'!B2:B201,"&lt;"&amp;DATE(2026,4,1))</f>
        <v>0</v>
      </c>
      <c r="D226" s="13">
        <f>COUNTIFS('📝 Nhật Ký'!B2:B201,"&gt;="&amp;DATE(2026,3,1),'📝 Nhật Ký'!B2:B201,"&lt;"&amp;DATE(2026,4,1),'📝 Nhật Ký'!M2:M201,"Thắng")</f>
        <v>0</v>
      </c>
      <c r="E226" s="43" t="str">
        <f t="shared" si="0"/>
        <v>—</v>
      </c>
      <c r="F226" s="44">
        <f>SUMIFS('📝 Nhật Ký'!N2:N201,'📝 Nhật Ký'!B2:B201,"&gt;="&amp;DATE(2026,3,1),'📝 Nhật Ký'!B2:B201,"&lt;"&amp;DATE(2026,4,1),'📝 Nhật Ký'!N2:N201,"&gt;0")</f>
        <v>0</v>
      </c>
      <c r="G226" s="45">
        <f>SUMIFS('📝 Nhật Ký'!N2:N201,'📝 Nhật Ký'!B2:B201,"&gt;="&amp;DATE(2026,3,1),'📝 Nhật Ký'!B2:B201,"&lt;"&amp;DATE(2026,4,1),'📝 Nhật Ký'!N2:N201,"&lt;0")</f>
        <v>0</v>
      </c>
      <c r="H226" s="46">
        <f t="shared" si="1"/>
        <v>0</v>
      </c>
    </row>
    <row r="227" spans="2:8" ht="18" customHeight="1" x14ac:dyDescent="0.2">
      <c r="B227" s="42" t="s">
        <v>146</v>
      </c>
      <c r="C227" s="13">
        <f>COUNTIFS('📝 Nhật Ký'!B2:B201,"&gt;="&amp;DATE(2026,4,1),'📝 Nhật Ký'!B2:B201,"&lt;"&amp;DATE(2026,5,1))</f>
        <v>0</v>
      </c>
      <c r="D227" s="13">
        <f>COUNTIFS('📝 Nhật Ký'!B2:B201,"&gt;="&amp;DATE(2026,4,1),'📝 Nhật Ký'!B2:B201,"&lt;"&amp;DATE(2026,5,1),'📝 Nhật Ký'!M2:M201,"Thắng")</f>
        <v>0</v>
      </c>
      <c r="E227" s="43" t="str">
        <f t="shared" si="0"/>
        <v>—</v>
      </c>
      <c r="F227" s="44">
        <f>SUMIFS('📝 Nhật Ký'!N2:N201,'📝 Nhật Ký'!B2:B201,"&gt;="&amp;DATE(2026,4,1),'📝 Nhật Ký'!B2:B201,"&lt;"&amp;DATE(2026,5,1),'📝 Nhật Ký'!N2:N201,"&gt;0")</f>
        <v>0</v>
      </c>
      <c r="G227" s="45">
        <f>SUMIFS('📝 Nhật Ký'!N2:N201,'📝 Nhật Ký'!B2:B201,"&gt;="&amp;DATE(2026,4,1),'📝 Nhật Ký'!B2:B201,"&lt;"&amp;DATE(2026,5,1),'📝 Nhật Ký'!N2:N201,"&lt;0")</f>
        <v>0</v>
      </c>
      <c r="H227" s="46">
        <f t="shared" si="1"/>
        <v>0</v>
      </c>
    </row>
    <row r="228" spans="2:8" ht="18" customHeight="1" x14ac:dyDescent="0.2">
      <c r="B228" s="42" t="s">
        <v>147</v>
      </c>
      <c r="C228" s="13">
        <f>COUNTIFS('📝 Nhật Ký'!B2:B201,"&gt;="&amp;DATE(2026,5,1),'📝 Nhật Ký'!B2:B201,"&lt;"&amp;DATE(2026,6,1))</f>
        <v>0</v>
      </c>
      <c r="D228" s="13">
        <f>COUNTIFS('📝 Nhật Ký'!B2:B201,"&gt;="&amp;DATE(2026,5,1),'📝 Nhật Ký'!B2:B201,"&lt;"&amp;DATE(2026,6,1),'📝 Nhật Ký'!M2:M201,"Thắng")</f>
        <v>0</v>
      </c>
      <c r="E228" s="43" t="str">
        <f t="shared" si="0"/>
        <v>—</v>
      </c>
      <c r="F228" s="44">
        <f>SUMIFS('📝 Nhật Ký'!N2:N201,'📝 Nhật Ký'!B2:B201,"&gt;="&amp;DATE(2026,5,1),'📝 Nhật Ký'!B2:B201,"&lt;"&amp;DATE(2026,6,1),'📝 Nhật Ký'!N2:N201,"&gt;0")</f>
        <v>0</v>
      </c>
      <c r="G228" s="45">
        <f>SUMIFS('📝 Nhật Ký'!N2:N201,'📝 Nhật Ký'!B2:B201,"&gt;="&amp;DATE(2026,5,1),'📝 Nhật Ký'!B2:B201,"&lt;"&amp;DATE(2026,6,1),'📝 Nhật Ký'!N2:N201,"&lt;0")</f>
        <v>0</v>
      </c>
      <c r="H228" s="46">
        <f t="shared" si="1"/>
        <v>0</v>
      </c>
    </row>
    <row r="229" spans="2:8" ht="18" customHeight="1" x14ac:dyDescent="0.2">
      <c r="B229" s="42" t="s">
        <v>148</v>
      </c>
      <c r="C229" s="13">
        <f>COUNTIFS('📝 Nhật Ký'!B2:B201,"&gt;="&amp;DATE(2026,6,1),'📝 Nhật Ký'!B2:B201,"&lt;"&amp;DATE(2026,7,1))</f>
        <v>4</v>
      </c>
      <c r="D229" s="13">
        <f>COUNTIFS('📝 Nhật Ký'!B2:B201,"&gt;="&amp;DATE(2026,6,1),'📝 Nhật Ký'!B2:B201,"&lt;"&amp;DATE(2026,7,1),'📝 Nhật Ký'!M2:M201,"Thắng")</f>
        <v>2</v>
      </c>
      <c r="E229" s="43">
        <f t="shared" si="0"/>
        <v>0.5</v>
      </c>
      <c r="F229" s="44">
        <f>SUMIFS('📝 Nhật Ký'!N2:N201,'📝 Nhật Ký'!B2:B201,"&gt;="&amp;DATE(2026,6,1),'📝 Nhật Ký'!B2:B201,"&lt;"&amp;DATE(2026,7,1),'📝 Nhật Ký'!N2:N201,"&gt;0")</f>
        <v>3000</v>
      </c>
      <c r="G229" s="45">
        <f>SUMIFS('📝 Nhật Ký'!N2:N201,'📝 Nhật Ký'!B2:B201,"&gt;="&amp;DATE(2026,6,1),'📝 Nhật Ký'!B2:B201,"&lt;"&amp;DATE(2026,7,1),'📝 Nhật Ký'!N2:N201,"&lt;0")</f>
        <v>-1000</v>
      </c>
      <c r="H229" s="46">
        <f t="shared" si="1"/>
        <v>2000</v>
      </c>
    </row>
    <row r="230" spans="2:8" ht="22" customHeight="1" x14ac:dyDescent="0.2">
      <c r="B230" s="15" t="s">
        <v>31</v>
      </c>
      <c r="C230" s="47">
        <f t="shared" ref="C230:H230" si="2">SUM(C212:C229)</f>
        <v>4</v>
      </c>
      <c r="D230" s="47">
        <f t="shared" si="2"/>
        <v>2</v>
      </c>
      <c r="E230" s="47">
        <f t="shared" si="2"/>
        <v>0.5</v>
      </c>
      <c r="F230" s="47">
        <f t="shared" si="2"/>
        <v>3000</v>
      </c>
      <c r="G230" s="47">
        <f t="shared" si="2"/>
        <v>-1000</v>
      </c>
      <c r="H230" s="47">
        <f t="shared" si="2"/>
        <v>2000</v>
      </c>
    </row>
  </sheetData>
  <sheetProtection algorithmName="SHA-512" hashValue="9BP57GLWcIdagwjahz58onZc8f1/p6qZz/vyuIiNWIPK7IqEO+q0udmfB2bptx+LTIVQs+TVwjSEuU3R+kE1Tg==" saltValue="ZlnArwm3Tt2jwU1mJax03A==" spinCount="100000" sheet="1" objects="1" scenarios="1"/>
  <mergeCells count="2">
    <mergeCell ref="B210:H210"/>
    <mergeCell ref="B2:H2"/>
  </mergeCells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ED7D31"/>
  </sheetPr>
  <dimension ref="B1:E107"/>
  <sheetViews>
    <sheetView showGridLines="0" topLeftCell="A31" workbookViewId="0">
      <selection activeCell="AC38" sqref="AC38"/>
    </sheetView>
  </sheetViews>
  <sheetFormatPr baseColWidth="10" defaultColWidth="8.83203125" defaultRowHeight="15" x14ac:dyDescent="0.2"/>
  <cols>
    <col min="1" max="1" width="2" customWidth="1"/>
    <col min="2" max="2" width="11.6640625" customWidth="1"/>
    <col min="3" max="3" width="42" customWidth="1"/>
    <col min="4" max="4" width="52.83203125" customWidth="1"/>
    <col min="5" max="5" width="58.1640625" customWidth="1"/>
    <col min="6" max="6" width="2" customWidth="1"/>
  </cols>
  <sheetData>
    <row r="1" spans="2:5" ht="8" customHeight="1" x14ac:dyDescent="0.2"/>
    <row r="2" spans="2:5" ht="44" customHeight="1" x14ac:dyDescent="0.2">
      <c r="C2" s="227" t="s">
        <v>149</v>
      </c>
      <c r="D2" s="174"/>
      <c r="E2" s="175"/>
    </row>
    <row r="3" spans="2:5" ht="8" customHeight="1" x14ac:dyDescent="0.2"/>
    <row r="4" spans="2:5" ht="28" customHeight="1" x14ac:dyDescent="0.2">
      <c r="C4" s="218" t="s">
        <v>150</v>
      </c>
      <c r="D4" s="174"/>
      <c r="E4" s="175"/>
    </row>
    <row r="5" spans="2:5" ht="22" customHeight="1" x14ac:dyDescent="0.2">
      <c r="B5" s="48" t="s">
        <v>151</v>
      </c>
      <c r="C5" s="49" t="s">
        <v>581</v>
      </c>
      <c r="D5" s="50" t="s">
        <v>152</v>
      </c>
      <c r="E5" s="132"/>
    </row>
    <row r="6" spans="2:5" ht="22" customHeight="1" x14ac:dyDescent="0.2">
      <c r="B6" s="48" t="s">
        <v>153</v>
      </c>
      <c r="C6" s="49" t="s">
        <v>154</v>
      </c>
      <c r="D6" s="50" t="s">
        <v>155</v>
      </c>
      <c r="E6" s="132"/>
    </row>
    <row r="7" spans="2:5" ht="22" customHeight="1" x14ac:dyDescent="0.2">
      <c r="B7" s="48" t="s">
        <v>156</v>
      </c>
      <c r="C7" s="49" t="s">
        <v>157</v>
      </c>
      <c r="D7" s="50" t="s">
        <v>158</v>
      </c>
      <c r="E7" s="132"/>
    </row>
    <row r="8" spans="2:5" ht="22" customHeight="1" x14ac:dyDescent="0.2">
      <c r="B8" s="48" t="s">
        <v>159</v>
      </c>
      <c r="C8" s="49" t="s">
        <v>160</v>
      </c>
      <c r="D8" s="50" t="s">
        <v>161</v>
      </c>
      <c r="E8" s="132"/>
    </row>
    <row r="9" spans="2:5" ht="22" customHeight="1" x14ac:dyDescent="0.2">
      <c r="B9" s="48" t="s">
        <v>162</v>
      </c>
      <c r="C9" s="49" t="s">
        <v>163</v>
      </c>
      <c r="D9" s="50" t="s">
        <v>164</v>
      </c>
      <c r="E9" s="132"/>
    </row>
    <row r="10" spans="2:5" ht="22" customHeight="1" x14ac:dyDescent="0.2"/>
    <row r="11" spans="2:5" ht="28" customHeight="1" x14ac:dyDescent="0.2">
      <c r="C11" s="228" t="s">
        <v>165</v>
      </c>
      <c r="D11" s="174"/>
      <c r="E11" s="175"/>
    </row>
    <row r="12" spans="2:5" ht="22" customHeight="1" x14ac:dyDescent="0.2">
      <c r="B12" s="48" t="s">
        <v>166</v>
      </c>
      <c r="C12" s="49" t="s">
        <v>167</v>
      </c>
      <c r="D12" s="50" t="s">
        <v>168</v>
      </c>
      <c r="E12" s="132"/>
    </row>
    <row r="13" spans="2:5" ht="22" customHeight="1" x14ac:dyDescent="0.2">
      <c r="B13" s="48" t="s">
        <v>169</v>
      </c>
      <c r="C13" s="49" t="s">
        <v>170</v>
      </c>
      <c r="D13" s="50" t="s">
        <v>171</v>
      </c>
      <c r="E13" s="132"/>
    </row>
    <row r="14" spans="2:5" ht="22" customHeight="1" x14ac:dyDescent="0.2">
      <c r="B14" s="48" t="s">
        <v>172</v>
      </c>
      <c r="C14" s="49" t="s">
        <v>173</v>
      </c>
      <c r="D14" s="50" t="s">
        <v>174</v>
      </c>
      <c r="E14" s="132"/>
    </row>
    <row r="15" spans="2:5" ht="22" customHeight="1" x14ac:dyDescent="0.2">
      <c r="B15" s="48" t="s">
        <v>175</v>
      </c>
      <c r="C15" s="49" t="s">
        <v>176</v>
      </c>
      <c r="D15" s="50" t="s">
        <v>177</v>
      </c>
      <c r="E15" s="132"/>
    </row>
    <row r="16" spans="2:5" ht="22" customHeight="1" x14ac:dyDescent="0.2">
      <c r="B16" s="48" t="s">
        <v>178</v>
      </c>
      <c r="C16" s="49" t="s">
        <v>179</v>
      </c>
      <c r="D16" s="50" t="s">
        <v>180</v>
      </c>
      <c r="E16" s="132"/>
    </row>
    <row r="17" spans="2:5" ht="22" customHeight="1" x14ac:dyDescent="0.2">
      <c r="B17" s="48" t="s">
        <v>181</v>
      </c>
      <c r="C17" s="49" t="s">
        <v>182</v>
      </c>
      <c r="D17" s="50" t="s">
        <v>183</v>
      </c>
      <c r="E17" s="132"/>
    </row>
    <row r="18" spans="2:5" ht="22" customHeight="1" x14ac:dyDescent="0.2">
      <c r="B18" s="48" t="s">
        <v>184</v>
      </c>
      <c r="C18" s="49" t="s">
        <v>185</v>
      </c>
      <c r="D18" s="50" t="s">
        <v>186</v>
      </c>
      <c r="E18" s="132"/>
    </row>
    <row r="19" spans="2:5" ht="22" customHeight="1" x14ac:dyDescent="0.2">
      <c r="B19" s="48" t="s">
        <v>187</v>
      </c>
      <c r="C19" s="49" t="s">
        <v>188</v>
      </c>
      <c r="D19" s="50" t="s">
        <v>189</v>
      </c>
      <c r="E19" s="132"/>
    </row>
    <row r="20" spans="2:5" ht="22" customHeight="1" x14ac:dyDescent="0.2">
      <c r="B20" s="48" t="s">
        <v>190</v>
      </c>
      <c r="C20" s="49" t="s">
        <v>191</v>
      </c>
      <c r="D20" s="50" t="s">
        <v>192</v>
      </c>
      <c r="E20" s="132"/>
    </row>
    <row r="21" spans="2:5" ht="22" customHeight="1" x14ac:dyDescent="0.2"/>
    <row r="22" spans="2:5" ht="26" customHeight="1" x14ac:dyDescent="0.2">
      <c r="B22" s="33" t="s">
        <v>193</v>
      </c>
      <c r="C22" s="51" t="s">
        <v>194</v>
      </c>
      <c r="D22" s="132"/>
      <c r="E22" s="52" t="s">
        <v>582</v>
      </c>
    </row>
    <row r="23" spans="2:5" ht="22" customHeight="1" x14ac:dyDescent="0.2"/>
    <row r="24" spans="2:5" ht="28" customHeight="1" x14ac:dyDescent="0.2">
      <c r="C24" s="217" t="s">
        <v>195</v>
      </c>
      <c r="D24" s="174"/>
      <c r="E24" s="175"/>
    </row>
    <row r="25" spans="2:5" ht="22" customHeight="1" x14ac:dyDescent="0.2">
      <c r="B25" s="48" t="s">
        <v>196</v>
      </c>
      <c r="C25" s="49" t="s">
        <v>197</v>
      </c>
      <c r="D25" s="50" t="s">
        <v>198</v>
      </c>
      <c r="E25" s="138"/>
    </row>
    <row r="26" spans="2:5" ht="22" customHeight="1" x14ac:dyDescent="0.2">
      <c r="B26" s="48" t="s">
        <v>199</v>
      </c>
      <c r="C26" s="49" t="s">
        <v>200</v>
      </c>
      <c r="D26" s="50" t="s">
        <v>201</v>
      </c>
      <c r="E26" s="138"/>
    </row>
    <row r="27" spans="2:5" ht="22" customHeight="1" x14ac:dyDescent="0.2">
      <c r="B27" s="48" t="s">
        <v>202</v>
      </c>
      <c r="C27" s="49" t="s">
        <v>203</v>
      </c>
      <c r="D27" s="50" t="s">
        <v>204</v>
      </c>
      <c r="E27" s="138"/>
    </row>
    <row r="28" spans="2:5" ht="22" customHeight="1" x14ac:dyDescent="0.2">
      <c r="B28" s="48" t="s">
        <v>205</v>
      </c>
      <c r="C28" s="49" t="s">
        <v>206</v>
      </c>
      <c r="D28" s="50" t="s">
        <v>207</v>
      </c>
      <c r="E28" s="138"/>
    </row>
    <row r="29" spans="2:5" ht="22" customHeight="1" x14ac:dyDescent="0.2">
      <c r="B29" s="48" t="s">
        <v>208</v>
      </c>
      <c r="C29" s="49" t="s">
        <v>209</v>
      </c>
      <c r="D29" s="50" t="s">
        <v>210</v>
      </c>
      <c r="E29" s="138"/>
    </row>
    <row r="30" spans="2:5" ht="22" customHeight="1" x14ac:dyDescent="0.2">
      <c r="B30" s="48" t="s">
        <v>211</v>
      </c>
      <c r="C30" s="49" t="s">
        <v>212</v>
      </c>
      <c r="D30" s="50"/>
      <c r="E30" s="138"/>
    </row>
    <row r="31" spans="2:5" ht="22" customHeight="1" x14ac:dyDescent="0.2">
      <c r="B31" s="48" t="s">
        <v>213</v>
      </c>
      <c r="C31" s="49" t="s">
        <v>214</v>
      </c>
      <c r="D31" s="50" t="s">
        <v>215</v>
      </c>
      <c r="E31" s="138"/>
    </row>
    <row r="32" spans="2:5" ht="22" customHeight="1" x14ac:dyDescent="0.2">
      <c r="B32" s="48" t="s">
        <v>216</v>
      </c>
      <c r="C32" s="49" t="s">
        <v>217</v>
      </c>
      <c r="D32" s="50" t="s">
        <v>218</v>
      </c>
      <c r="E32" s="138"/>
    </row>
    <row r="33" spans="2:5" ht="22" customHeight="1" x14ac:dyDescent="0.2">
      <c r="B33" s="48" t="s">
        <v>219</v>
      </c>
      <c r="C33" s="49" t="s">
        <v>220</v>
      </c>
      <c r="D33" s="50" t="s">
        <v>221</v>
      </c>
      <c r="E33" s="138"/>
    </row>
    <row r="34" spans="2:5" ht="22" customHeight="1" x14ac:dyDescent="0.2"/>
    <row r="35" spans="2:5" ht="28" customHeight="1" x14ac:dyDescent="0.2">
      <c r="C35" s="219" t="s">
        <v>222</v>
      </c>
      <c r="D35" s="174"/>
      <c r="E35" s="175"/>
    </row>
    <row r="36" spans="2:5" ht="22" customHeight="1" x14ac:dyDescent="0.2">
      <c r="B36" s="53" t="s">
        <v>223</v>
      </c>
      <c r="C36" s="54" t="s">
        <v>224</v>
      </c>
      <c r="D36" s="55" t="s">
        <v>225</v>
      </c>
      <c r="E36" s="132"/>
    </row>
    <row r="37" spans="2:5" ht="22" customHeight="1" x14ac:dyDescent="0.2">
      <c r="B37" s="53" t="s">
        <v>226</v>
      </c>
      <c r="C37" s="54" t="s">
        <v>227</v>
      </c>
      <c r="D37" s="55" t="s">
        <v>228</v>
      </c>
      <c r="E37" s="132"/>
    </row>
    <row r="38" spans="2:5" ht="22" customHeight="1" x14ac:dyDescent="0.2">
      <c r="B38" s="53" t="s">
        <v>229</v>
      </c>
      <c r="C38" s="54" t="s">
        <v>230</v>
      </c>
      <c r="D38" s="55" t="s">
        <v>231</v>
      </c>
      <c r="E38" s="132"/>
    </row>
    <row r="39" spans="2:5" ht="22" customHeight="1" x14ac:dyDescent="0.2">
      <c r="B39" s="53" t="s">
        <v>232</v>
      </c>
      <c r="C39" s="54" t="s">
        <v>233</v>
      </c>
      <c r="D39" s="55" t="s">
        <v>234</v>
      </c>
      <c r="E39" s="132"/>
    </row>
    <row r="40" spans="2:5" ht="22" customHeight="1" x14ac:dyDescent="0.2">
      <c r="B40" s="53" t="s">
        <v>235</v>
      </c>
      <c r="C40" s="54" t="s">
        <v>236</v>
      </c>
      <c r="D40" s="55" t="s">
        <v>237</v>
      </c>
      <c r="E40" s="132"/>
    </row>
    <row r="41" spans="2:5" ht="22" customHeight="1" x14ac:dyDescent="0.2">
      <c r="B41" s="53" t="s">
        <v>238</v>
      </c>
      <c r="C41" s="54" t="s">
        <v>239</v>
      </c>
      <c r="D41" s="55" t="s">
        <v>240</v>
      </c>
      <c r="E41" s="132"/>
    </row>
    <row r="42" spans="2:5" ht="22" customHeight="1" x14ac:dyDescent="0.2"/>
    <row r="43" spans="2:5" ht="32" customHeight="1" x14ac:dyDescent="0.2">
      <c r="C43" s="236" t="s">
        <v>241</v>
      </c>
      <c r="D43" s="174"/>
      <c r="E43" s="175"/>
    </row>
    <row r="44" spans="2:5" ht="10" customHeight="1" x14ac:dyDescent="0.2"/>
    <row r="45" spans="2:5" ht="10" customHeight="1" x14ac:dyDescent="0.2"/>
    <row r="46" spans="2:5" ht="44" customHeight="1" x14ac:dyDescent="0.2">
      <c r="B46" s="224" t="s">
        <v>242</v>
      </c>
      <c r="C46" s="181"/>
      <c r="D46" s="181"/>
      <c r="E46" s="182"/>
    </row>
    <row r="47" spans="2:5" ht="28" customHeight="1" x14ac:dyDescent="0.2">
      <c r="B47" s="115" t="s">
        <v>243</v>
      </c>
      <c r="C47" s="229" t="s">
        <v>244</v>
      </c>
      <c r="D47" s="182"/>
      <c r="E47" s="115" t="s">
        <v>245</v>
      </c>
    </row>
    <row r="48" spans="2:5" ht="22" customHeight="1" x14ac:dyDescent="0.2">
      <c r="B48" s="116" t="s">
        <v>246</v>
      </c>
      <c r="C48" s="99" t="s">
        <v>247</v>
      </c>
      <c r="D48" s="117" t="s">
        <v>248</v>
      </c>
      <c r="E48" s="139"/>
    </row>
    <row r="49" spans="2:5" ht="22" customHeight="1" x14ac:dyDescent="0.2">
      <c r="B49" s="116" t="s">
        <v>249</v>
      </c>
      <c r="C49" s="105" t="s">
        <v>250</v>
      </c>
      <c r="D49" s="117" t="s">
        <v>251</v>
      </c>
      <c r="E49" s="139"/>
    </row>
    <row r="50" spans="2:5" ht="22" customHeight="1" x14ac:dyDescent="0.2">
      <c r="B50" s="116" t="s">
        <v>252</v>
      </c>
      <c r="C50" s="99" t="s">
        <v>253</v>
      </c>
      <c r="D50" s="117" t="s">
        <v>254</v>
      </c>
      <c r="E50" s="139"/>
    </row>
    <row r="51" spans="2:5" ht="22" customHeight="1" x14ac:dyDescent="0.2">
      <c r="B51" s="116" t="s">
        <v>255</v>
      </c>
      <c r="C51" s="105" t="s">
        <v>256</v>
      </c>
      <c r="D51" s="117" t="s">
        <v>257</v>
      </c>
      <c r="E51" s="139"/>
    </row>
    <row r="52" spans="2:5" ht="22" customHeight="1" x14ac:dyDescent="0.2">
      <c r="B52" s="118" t="s">
        <v>258</v>
      </c>
      <c r="C52" s="231" t="s">
        <v>259</v>
      </c>
      <c r="D52" s="181"/>
      <c r="E52" s="182"/>
    </row>
    <row r="53" spans="2:5" ht="6" customHeight="1" x14ac:dyDescent="0.2"/>
    <row r="54" spans="2:5" ht="28" customHeight="1" x14ac:dyDescent="0.2">
      <c r="B54" s="97" t="s">
        <v>260</v>
      </c>
      <c r="C54" s="230" t="s">
        <v>261</v>
      </c>
      <c r="D54" s="182"/>
      <c r="E54" s="97" t="s">
        <v>245</v>
      </c>
    </row>
    <row r="55" spans="2:5" ht="22" customHeight="1" x14ac:dyDescent="0.2">
      <c r="B55" s="116" t="s">
        <v>262</v>
      </c>
      <c r="C55" s="109" t="s">
        <v>263</v>
      </c>
      <c r="D55" s="117" t="s">
        <v>264</v>
      </c>
      <c r="E55" s="139"/>
    </row>
    <row r="56" spans="2:5" ht="22" customHeight="1" x14ac:dyDescent="0.2">
      <c r="B56" s="116" t="s">
        <v>265</v>
      </c>
      <c r="C56" s="105" t="s">
        <v>266</v>
      </c>
      <c r="D56" s="117" t="s">
        <v>267</v>
      </c>
      <c r="E56" s="139"/>
    </row>
    <row r="57" spans="2:5" ht="22" customHeight="1" x14ac:dyDescent="0.2">
      <c r="B57" s="116" t="s">
        <v>268</v>
      </c>
      <c r="C57" s="109" t="s">
        <v>269</v>
      </c>
      <c r="D57" s="117" t="s">
        <v>270</v>
      </c>
      <c r="E57" s="139"/>
    </row>
    <row r="58" spans="2:5" ht="22" customHeight="1" x14ac:dyDescent="0.2">
      <c r="B58" s="116" t="s">
        <v>271</v>
      </c>
      <c r="C58" s="105" t="s">
        <v>272</v>
      </c>
      <c r="D58" s="117" t="s">
        <v>273</v>
      </c>
      <c r="E58" s="139"/>
    </row>
    <row r="59" spans="2:5" ht="22" customHeight="1" x14ac:dyDescent="0.2">
      <c r="B59" s="119" t="s">
        <v>258</v>
      </c>
      <c r="C59" s="235" t="s">
        <v>274</v>
      </c>
      <c r="D59" s="181"/>
      <c r="E59" s="182"/>
    </row>
    <row r="60" spans="2:5" ht="6" customHeight="1" x14ac:dyDescent="0.2"/>
    <row r="61" spans="2:5" ht="28" customHeight="1" x14ac:dyDescent="0.2">
      <c r="B61" s="120" t="s">
        <v>275</v>
      </c>
      <c r="C61" s="225" t="s">
        <v>276</v>
      </c>
      <c r="D61" s="182"/>
      <c r="E61" s="120" t="s">
        <v>245</v>
      </c>
    </row>
    <row r="62" spans="2:5" ht="22" customHeight="1" x14ac:dyDescent="0.2">
      <c r="B62" s="116" t="s">
        <v>277</v>
      </c>
      <c r="C62" s="121" t="s">
        <v>278</v>
      </c>
      <c r="D62" s="117" t="s">
        <v>279</v>
      </c>
      <c r="E62" s="139"/>
    </row>
    <row r="63" spans="2:5" ht="22" customHeight="1" x14ac:dyDescent="0.2">
      <c r="B63" s="116" t="s">
        <v>280</v>
      </c>
      <c r="C63" s="105" t="s">
        <v>281</v>
      </c>
      <c r="D63" s="117" t="s">
        <v>282</v>
      </c>
      <c r="E63" s="139"/>
    </row>
    <row r="64" spans="2:5" ht="22" customHeight="1" x14ac:dyDescent="0.2">
      <c r="B64" s="116" t="s">
        <v>283</v>
      </c>
      <c r="C64" s="121" t="s">
        <v>284</v>
      </c>
      <c r="D64" s="171" t="s">
        <v>586</v>
      </c>
      <c r="E64" s="139"/>
    </row>
    <row r="65" spans="2:5" ht="22" customHeight="1" x14ac:dyDescent="0.2">
      <c r="B65" s="116" t="s">
        <v>285</v>
      </c>
      <c r="C65" s="105" t="s">
        <v>286</v>
      </c>
      <c r="D65" s="171" t="s">
        <v>287</v>
      </c>
      <c r="E65" s="139"/>
    </row>
    <row r="66" spans="2:5" ht="22" customHeight="1" x14ac:dyDescent="0.2">
      <c r="B66" s="116" t="s">
        <v>288</v>
      </c>
      <c r="C66" s="121" t="s">
        <v>289</v>
      </c>
      <c r="D66" s="117" t="s">
        <v>290</v>
      </c>
      <c r="E66" s="139"/>
    </row>
    <row r="67" spans="2:5" ht="22" customHeight="1" x14ac:dyDescent="0.2">
      <c r="B67" s="122" t="s">
        <v>258</v>
      </c>
      <c r="C67" s="223" t="s">
        <v>291</v>
      </c>
      <c r="D67" s="181"/>
      <c r="E67" s="182"/>
    </row>
    <row r="68" spans="2:5" ht="6" customHeight="1" x14ac:dyDescent="0.2"/>
    <row r="69" spans="2:5" ht="28" customHeight="1" x14ac:dyDescent="0.2">
      <c r="B69" s="98" t="s">
        <v>292</v>
      </c>
      <c r="C69" s="220" t="s">
        <v>293</v>
      </c>
      <c r="D69" s="182"/>
      <c r="E69" s="98" t="s">
        <v>245</v>
      </c>
    </row>
    <row r="70" spans="2:5" ht="22" customHeight="1" x14ac:dyDescent="0.2">
      <c r="B70" s="116" t="s">
        <v>294</v>
      </c>
      <c r="C70" s="102" t="s">
        <v>295</v>
      </c>
      <c r="D70" s="117" t="s">
        <v>296</v>
      </c>
      <c r="E70" s="139"/>
    </row>
    <row r="71" spans="2:5" ht="22" customHeight="1" x14ac:dyDescent="0.2">
      <c r="B71" s="116" t="s">
        <v>297</v>
      </c>
      <c r="C71" s="105" t="s">
        <v>298</v>
      </c>
      <c r="D71" s="117" t="s">
        <v>299</v>
      </c>
      <c r="E71" s="139"/>
    </row>
    <row r="72" spans="2:5" ht="22" customHeight="1" x14ac:dyDescent="0.2">
      <c r="B72" s="116" t="s">
        <v>297</v>
      </c>
      <c r="C72" s="102" t="s">
        <v>300</v>
      </c>
      <c r="D72" s="117" t="s">
        <v>301</v>
      </c>
      <c r="E72" s="139"/>
    </row>
    <row r="73" spans="2:5" ht="22" customHeight="1" x14ac:dyDescent="0.2">
      <c r="B73" s="116" t="s">
        <v>302</v>
      </c>
      <c r="C73" s="105" t="s">
        <v>303</v>
      </c>
      <c r="D73" s="117" t="s">
        <v>304</v>
      </c>
      <c r="E73" s="139"/>
    </row>
    <row r="74" spans="2:5" ht="22" customHeight="1" x14ac:dyDescent="0.2">
      <c r="B74" s="116" t="s">
        <v>305</v>
      </c>
      <c r="C74" s="102" t="s">
        <v>306</v>
      </c>
      <c r="D74" s="117" t="s">
        <v>307</v>
      </c>
      <c r="E74" s="139"/>
    </row>
    <row r="75" spans="2:5" ht="22" customHeight="1" x14ac:dyDescent="0.2">
      <c r="B75" s="123" t="s">
        <v>258</v>
      </c>
      <c r="C75" s="233" t="s">
        <v>308</v>
      </c>
      <c r="D75" s="181"/>
      <c r="E75" s="182"/>
    </row>
    <row r="76" spans="2:5" ht="6" customHeight="1" x14ac:dyDescent="0.2"/>
    <row r="77" spans="2:5" ht="28" customHeight="1" x14ac:dyDescent="0.2">
      <c r="B77" s="124" t="s">
        <v>309</v>
      </c>
      <c r="C77" s="232" t="s">
        <v>310</v>
      </c>
      <c r="D77" s="182"/>
      <c r="E77" s="124" t="s">
        <v>245</v>
      </c>
    </row>
    <row r="78" spans="2:5" ht="22" customHeight="1" x14ac:dyDescent="0.2">
      <c r="B78" s="116" t="s">
        <v>311</v>
      </c>
      <c r="C78" s="125" t="s">
        <v>312</v>
      </c>
      <c r="D78" s="117" t="s">
        <v>313</v>
      </c>
      <c r="E78" s="139"/>
    </row>
    <row r="79" spans="2:5" ht="22" customHeight="1" x14ac:dyDescent="0.2">
      <c r="B79" s="116" t="s">
        <v>314</v>
      </c>
      <c r="C79" s="105" t="s">
        <v>315</v>
      </c>
      <c r="D79" s="117" t="s">
        <v>316</v>
      </c>
      <c r="E79" s="139"/>
    </row>
    <row r="80" spans="2:5" ht="22" customHeight="1" x14ac:dyDescent="0.2">
      <c r="B80" s="116" t="s">
        <v>317</v>
      </c>
      <c r="C80" s="125" t="s">
        <v>318</v>
      </c>
      <c r="D80" s="117" t="s">
        <v>319</v>
      </c>
      <c r="E80" s="139"/>
    </row>
    <row r="81" spans="2:5" ht="22" customHeight="1" x14ac:dyDescent="0.2">
      <c r="B81" s="116" t="s">
        <v>320</v>
      </c>
      <c r="C81" s="105" t="s">
        <v>321</v>
      </c>
      <c r="D81" s="117" t="s">
        <v>322</v>
      </c>
      <c r="E81" s="139"/>
    </row>
    <row r="82" spans="2:5" ht="22" customHeight="1" x14ac:dyDescent="0.2">
      <c r="B82" s="116" t="s">
        <v>323</v>
      </c>
      <c r="C82" s="125" t="s">
        <v>324</v>
      </c>
      <c r="D82" s="117" t="s">
        <v>325</v>
      </c>
      <c r="E82" s="139"/>
    </row>
    <row r="83" spans="2:5" ht="22" customHeight="1" x14ac:dyDescent="0.2">
      <c r="B83" s="126" t="s">
        <v>258</v>
      </c>
      <c r="C83" s="226" t="s">
        <v>326</v>
      </c>
      <c r="D83" s="181"/>
      <c r="E83" s="182"/>
    </row>
    <row r="84" spans="2:5" ht="6" customHeight="1" x14ac:dyDescent="0.2"/>
    <row r="85" spans="2:5" ht="28" customHeight="1" x14ac:dyDescent="0.2">
      <c r="B85" s="127" t="s">
        <v>327</v>
      </c>
      <c r="C85" s="237" t="s">
        <v>328</v>
      </c>
      <c r="D85" s="182"/>
      <c r="E85" s="127" t="s">
        <v>245</v>
      </c>
    </row>
    <row r="86" spans="2:5" ht="22" customHeight="1" x14ac:dyDescent="0.2">
      <c r="B86" s="116" t="s">
        <v>329</v>
      </c>
      <c r="C86" s="128" t="s">
        <v>330</v>
      </c>
      <c r="D86" s="117" t="s">
        <v>331</v>
      </c>
      <c r="E86" s="139"/>
    </row>
    <row r="87" spans="2:5" ht="22" customHeight="1" x14ac:dyDescent="0.2">
      <c r="B87" s="116" t="s">
        <v>332</v>
      </c>
      <c r="C87" s="105" t="s">
        <v>333</v>
      </c>
      <c r="D87" s="117" t="s">
        <v>334</v>
      </c>
      <c r="E87" s="139"/>
    </row>
    <row r="88" spans="2:5" ht="22" customHeight="1" x14ac:dyDescent="0.2">
      <c r="B88" s="116" t="s">
        <v>335</v>
      </c>
      <c r="C88" s="128" t="s">
        <v>336</v>
      </c>
      <c r="D88" s="117" t="s">
        <v>337</v>
      </c>
      <c r="E88" s="139"/>
    </row>
    <row r="89" spans="2:5" ht="22" customHeight="1" x14ac:dyDescent="0.2">
      <c r="B89" s="116" t="s">
        <v>338</v>
      </c>
      <c r="C89" s="105" t="s">
        <v>339</v>
      </c>
      <c r="D89" s="117" t="s">
        <v>340</v>
      </c>
      <c r="E89" s="139"/>
    </row>
    <row r="90" spans="2:5" ht="22" customHeight="1" x14ac:dyDescent="0.2">
      <c r="B90" s="116" t="s">
        <v>341</v>
      </c>
      <c r="C90" s="128" t="s">
        <v>342</v>
      </c>
      <c r="D90" s="117" t="s">
        <v>343</v>
      </c>
      <c r="E90" s="139"/>
    </row>
    <row r="91" spans="2:5" ht="22" customHeight="1" x14ac:dyDescent="0.2">
      <c r="B91" s="129" t="s">
        <v>258</v>
      </c>
      <c r="C91" s="222" t="s">
        <v>344</v>
      </c>
      <c r="D91" s="181"/>
      <c r="E91" s="182"/>
    </row>
    <row r="92" spans="2:5" ht="6" customHeight="1" x14ac:dyDescent="0.2"/>
    <row r="93" spans="2:5" ht="28" customHeight="1" x14ac:dyDescent="0.2">
      <c r="B93" s="130" t="s">
        <v>345</v>
      </c>
      <c r="C93" s="221" t="s">
        <v>346</v>
      </c>
      <c r="D93" s="182"/>
      <c r="E93" s="130" t="s">
        <v>245</v>
      </c>
    </row>
    <row r="94" spans="2:5" ht="22" customHeight="1" x14ac:dyDescent="0.2">
      <c r="B94" s="116" t="s">
        <v>347</v>
      </c>
      <c r="C94" s="109" t="s">
        <v>348</v>
      </c>
      <c r="D94" s="117" t="s">
        <v>349</v>
      </c>
      <c r="E94" s="139"/>
    </row>
    <row r="95" spans="2:5" ht="22" customHeight="1" x14ac:dyDescent="0.2">
      <c r="B95" s="116" t="s">
        <v>350</v>
      </c>
      <c r="C95" s="105" t="s">
        <v>351</v>
      </c>
      <c r="D95" s="117" t="s">
        <v>352</v>
      </c>
      <c r="E95" s="139"/>
    </row>
    <row r="96" spans="2:5" ht="22" customHeight="1" x14ac:dyDescent="0.2">
      <c r="B96" s="116" t="s">
        <v>353</v>
      </c>
      <c r="C96" s="109" t="s">
        <v>354</v>
      </c>
      <c r="D96" s="117" t="s">
        <v>355</v>
      </c>
      <c r="E96" s="139"/>
    </row>
    <row r="97" spans="2:5" ht="22" customHeight="1" x14ac:dyDescent="0.2">
      <c r="B97" s="116" t="s">
        <v>356</v>
      </c>
      <c r="C97" s="105" t="s">
        <v>357</v>
      </c>
      <c r="D97" s="117" t="s">
        <v>358</v>
      </c>
      <c r="E97" s="139"/>
    </row>
    <row r="98" spans="2:5" ht="22" customHeight="1" x14ac:dyDescent="0.2">
      <c r="B98" s="116" t="s">
        <v>359</v>
      </c>
      <c r="C98" s="109" t="s">
        <v>360</v>
      </c>
      <c r="D98" s="117" t="s">
        <v>361</v>
      </c>
      <c r="E98" s="139"/>
    </row>
    <row r="100" spans="2:5" ht="10" customHeight="1" x14ac:dyDescent="0.2"/>
    <row r="101" spans="2:5" ht="36" customHeight="1" x14ac:dyDescent="0.2">
      <c r="B101" s="216" t="s">
        <v>362</v>
      </c>
      <c r="C101" s="181"/>
      <c r="D101" s="181"/>
      <c r="E101" s="182"/>
    </row>
    <row r="103" spans="2:5" ht="10" customHeight="1" x14ac:dyDescent="0.2"/>
    <row r="104" spans="2:5" ht="26" customHeight="1" x14ac:dyDescent="0.2">
      <c r="B104" s="234" t="s">
        <v>363</v>
      </c>
      <c r="C104" s="181"/>
      <c r="D104" s="181"/>
      <c r="E104" s="182"/>
    </row>
    <row r="105" spans="2:5" ht="22" customHeight="1" x14ac:dyDescent="0.2">
      <c r="B105" s="210" t="s">
        <v>364</v>
      </c>
      <c r="C105" s="181"/>
      <c r="D105" s="181"/>
      <c r="E105" s="182"/>
    </row>
    <row r="106" spans="2:5" ht="22" customHeight="1" x14ac:dyDescent="0.2">
      <c r="B106" s="195" t="s">
        <v>365</v>
      </c>
      <c r="C106" s="181"/>
      <c r="D106" s="181"/>
      <c r="E106" s="182"/>
    </row>
    <row r="107" spans="2:5" ht="22" customHeight="1" x14ac:dyDescent="0.2">
      <c r="B107" s="210" t="s">
        <v>366</v>
      </c>
      <c r="C107" s="181"/>
      <c r="D107" s="181"/>
      <c r="E107" s="182"/>
    </row>
  </sheetData>
  <sheetProtection algorithmName="SHA-512" hashValue="WdodWDvflkzN3XBnET9t5EjNEORDZWQD2QkdTkchIjcfic+aaj8EZcTRPFATwipfG4r4fYs7nbpa2Iz2AEI2Ag==" saltValue="CipgT8NQEPc8I6V25RXdTg==" spinCount="100000" sheet="1" objects="1" scenarios="1"/>
  <mergeCells count="25">
    <mergeCell ref="B104:E104"/>
    <mergeCell ref="C59:E59"/>
    <mergeCell ref="C43:E43"/>
    <mergeCell ref="C85:D85"/>
    <mergeCell ref="C2:E2"/>
    <mergeCell ref="C11:E11"/>
    <mergeCell ref="C47:D47"/>
    <mergeCell ref="C54:D54"/>
    <mergeCell ref="C52:E52"/>
    <mergeCell ref="B107:E107"/>
    <mergeCell ref="B101:E101"/>
    <mergeCell ref="C24:E24"/>
    <mergeCell ref="C4:E4"/>
    <mergeCell ref="C35:E35"/>
    <mergeCell ref="C69:D69"/>
    <mergeCell ref="B106:E106"/>
    <mergeCell ref="C93:D93"/>
    <mergeCell ref="C91:E91"/>
    <mergeCell ref="C67:E67"/>
    <mergeCell ref="B46:E46"/>
    <mergeCell ref="B105:E105"/>
    <mergeCell ref="C61:D61"/>
    <mergeCell ref="C83:E83"/>
    <mergeCell ref="C77:D77"/>
    <mergeCell ref="C75:E75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C00000"/>
  </sheetPr>
  <dimension ref="C1:F79"/>
  <sheetViews>
    <sheetView showGridLines="0" workbookViewId="0">
      <selection activeCell="AE33" sqref="AE33"/>
    </sheetView>
  </sheetViews>
  <sheetFormatPr baseColWidth="10" defaultColWidth="8.83203125" defaultRowHeight="15" x14ac:dyDescent="0.2"/>
  <cols>
    <col min="1" max="1" width="2" customWidth="1"/>
    <col min="2" max="2" width="4" customWidth="1"/>
    <col min="3" max="3" width="38" customWidth="1"/>
    <col min="4" max="4" width="27.6640625" customWidth="1"/>
    <col min="5" max="5" width="35.1640625" customWidth="1"/>
    <col min="6" max="6" width="46.1640625" customWidth="1"/>
    <col min="7" max="7" width="2" customWidth="1"/>
  </cols>
  <sheetData>
    <row r="1" spans="3:6" ht="8" customHeight="1" x14ac:dyDescent="0.2"/>
    <row r="2" spans="3:6" ht="44" customHeight="1" x14ac:dyDescent="0.2">
      <c r="C2" s="238" t="s">
        <v>367</v>
      </c>
      <c r="D2" s="174"/>
      <c r="E2" s="174"/>
      <c r="F2" s="175"/>
    </row>
    <row r="3" spans="3:6" ht="8" customHeight="1" x14ac:dyDescent="0.2"/>
    <row r="4" spans="3:6" ht="30" customHeight="1" x14ac:dyDescent="0.2">
      <c r="C4" s="56" t="s">
        <v>368</v>
      </c>
      <c r="D4" s="140">
        <v>46113</v>
      </c>
      <c r="E4" s="245" t="s">
        <v>369</v>
      </c>
      <c r="F4" s="175"/>
    </row>
    <row r="5" spans="3:6" ht="22" customHeight="1" x14ac:dyDescent="0.2"/>
    <row r="6" spans="3:6" ht="28" customHeight="1" x14ac:dyDescent="0.2">
      <c r="C6" s="202" t="s">
        <v>370</v>
      </c>
      <c r="D6" s="174"/>
      <c r="E6" s="174"/>
      <c r="F6" s="175"/>
    </row>
    <row r="7" spans="3:6" ht="22" customHeight="1" x14ac:dyDescent="0.2">
      <c r="C7" s="57" t="s">
        <v>371</v>
      </c>
      <c r="D7" s="58">
        <f>'📊 Dashboard'!E8</f>
        <v>0</v>
      </c>
      <c r="E7" s="57" t="s">
        <v>372</v>
      </c>
      <c r="F7" s="59">
        <f>'📊 Dashboard'!E6</f>
        <v>0</v>
      </c>
    </row>
    <row r="8" spans="3:6" ht="22" customHeight="1" x14ac:dyDescent="0.2">
      <c r="C8" s="57" t="s">
        <v>373</v>
      </c>
      <c r="D8" s="60">
        <f>'📊 Dashboard'!E9</f>
        <v>0</v>
      </c>
      <c r="E8" s="57" t="s">
        <v>374</v>
      </c>
      <c r="F8" s="61">
        <f>'📊 Dashboard'!E5</f>
        <v>0</v>
      </c>
    </row>
    <row r="9" spans="3:6" ht="22" customHeight="1" x14ac:dyDescent="0.2">
      <c r="C9" s="57" t="s">
        <v>375</v>
      </c>
      <c r="D9" s="62">
        <f>'📊 Dashboard'!E10</f>
        <v>0</v>
      </c>
      <c r="E9" s="57" t="s">
        <v>376</v>
      </c>
      <c r="F9" s="60">
        <f>'📊 Dashboard'!E11</f>
        <v>0</v>
      </c>
    </row>
    <row r="10" spans="3:6" ht="22" customHeight="1" x14ac:dyDescent="0.2">
      <c r="C10" s="57" t="s">
        <v>377</v>
      </c>
      <c r="D10" s="63">
        <f>'📝 Nhật Ký'!N202</f>
        <v>2000</v>
      </c>
      <c r="E10" s="57" t="s">
        <v>378</v>
      </c>
      <c r="F10" s="60">
        <f>'📊 Dashboard'!E7</f>
        <v>0</v>
      </c>
    </row>
    <row r="11" spans="3:6" ht="22" customHeight="1" x14ac:dyDescent="0.2"/>
    <row r="12" spans="3:6" ht="28" customHeight="1" x14ac:dyDescent="0.2">
      <c r="C12" s="205" t="s">
        <v>379</v>
      </c>
      <c r="D12" s="174"/>
      <c r="E12" s="174"/>
      <c r="F12" s="175"/>
    </row>
    <row r="13" spans="3:6" ht="24" customHeight="1" x14ac:dyDescent="0.2">
      <c r="C13" s="239" t="s">
        <v>380</v>
      </c>
      <c r="D13" s="240"/>
      <c r="E13" s="240"/>
      <c r="F13" s="241"/>
    </row>
    <row r="14" spans="3:6" ht="36" customHeight="1" x14ac:dyDescent="0.2">
      <c r="C14" s="246"/>
      <c r="D14" s="247"/>
      <c r="E14" s="247"/>
      <c r="F14" s="248"/>
    </row>
    <row r="15" spans="3:6" ht="36" customHeight="1" x14ac:dyDescent="0.2">
      <c r="C15" s="249"/>
      <c r="D15" s="250"/>
      <c r="E15" s="250"/>
      <c r="F15" s="251"/>
    </row>
    <row r="16" spans="3:6" ht="24" customHeight="1" x14ac:dyDescent="0.2">
      <c r="C16" s="242" t="s">
        <v>381</v>
      </c>
      <c r="D16" s="243"/>
      <c r="E16" s="243"/>
      <c r="F16" s="244"/>
    </row>
    <row r="17" spans="3:6" ht="36" customHeight="1" x14ac:dyDescent="0.2">
      <c r="C17" s="246"/>
      <c r="D17" s="247"/>
      <c r="E17" s="247"/>
      <c r="F17" s="248"/>
    </row>
    <row r="18" spans="3:6" ht="36" customHeight="1" x14ac:dyDescent="0.2">
      <c r="C18" s="249"/>
      <c r="D18" s="250"/>
      <c r="E18" s="250"/>
      <c r="F18" s="251"/>
    </row>
    <row r="19" spans="3:6" ht="24" customHeight="1" x14ac:dyDescent="0.2">
      <c r="C19" s="239" t="s">
        <v>382</v>
      </c>
      <c r="D19" s="240"/>
      <c r="E19" s="240"/>
      <c r="F19" s="241"/>
    </row>
    <row r="20" spans="3:6" ht="36" customHeight="1" x14ac:dyDescent="0.2">
      <c r="C20" s="246"/>
      <c r="D20" s="247"/>
      <c r="E20" s="247"/>
      <c r="F20" s="248"/>
    </row>
    <row r="21" spans="3:6" ht="36" customHeight="1" x14ac:dyDescent="0.2">
      <c r="C21" s="249"/>
      <c r="D21" s="250"/>
      <c r="E21" s="250"/>
      <c r="F21" s="251"/>
    </row>
    <row r="22" spans="3:6" ht="24" customHeight="1" x14ac:dyDescent="0.2">
      <c r="C22" s="242" t="s">
        <v>383</v>
      </c>
      <c r="D22" s="243"/>
      <c r="E22" s="243"/>
      <c r="F22" s="244"/>
    </row>
    <row r="23" spans="3:6" ht="36" customHeight="1" x14ac:dyDescent="0.2">
      <c r="C23" s="246"/>
      <c r="D23" s="247"/>
      <c r="E23" s="247"/>
      <c r="F23" s="248"/>
    </row>
    <row r="24" spans="3:6" ht="36" customHeight="1" x14ac:dyDescent="0.2">
      <c r="C24" s="249"/>
      <c r="D24" s="250"/>
      <c r="E24" s="250"/>
      <c r="F24" s="251"/>
    </row>
    <row r="25" spans="3:6" ht="24" customHeight="1" x14ac:dyDescent="0.2">
      <c r="C25" s="239" t="s">
        <v>384</v>
      </c>
      <c r="D25" s="240"/>
      <c r="E25" s="240"/>
      <c r="F25" s="241"/>
    </row>
    <row r="26" spans="3:6" ht="36" customHeight="1" x14ac:dyDescent="0.2">
      <c r="C26" s="246"/>
      <c r="D26" s="247"/>
      <c r="E26" s="247"/>
      <c r="F26" s="248"/>
    </row>
    <row r="27" spans="3:6" ht="36" customHeight="1" x14ac:dyDescent="0.2">
      <c r="C27" s="249"/>
      <c r="D27" s="250"/>
      <c r="E27" s="250"/>
      <c r="F27" s="251"/>
    </row>
    <row r="28" spans="3:6" ht="24" customHeight="1" x14ac:dyDescent="0.2">
      <c r="C28" s="242" t="s">
        <v>385</v>
      </c>
      <c r="D28" s="243"/>
      <c r="E28" s="243"/>
      <c r="F28" s="244"/>
    </row>
    <row r="29" spans="3:6" ht="36" customHeight="1" x14ac:dyDescent="0.2">
      <c r="C29" s="246"/>
      <c r="D29" s="247"/>
      <c r="E29" s="247"/>
      <c r="F29" s="248"/>
    </row>
    <row r="30" spans="3:6" ht="36" customHeight="1" x14ac:dyDescent="0.2">
      <c r="C30" s="249"/>
      <c r="D30" s="250"/>
      <c r="E30" s="250"/>
      <c r="F30" s="251"/>
    </row>
    <row r="31" spans="3:6" ht="24" customHeight="1" x14ac:dyDescent="0.2">
      <c r="C31" s="239" t="s">
        <v>386</v>
      </c>
      <c r="D31" s="240"/>
      <c r="E31" s="240"/>
      <c r="F31" s="241"/>
    </row>
    <row r="32" spans="3:6" ht="36" customHeight="1" x14ac:dyDescent="0.2">
      <c r="C32" s="246"/>
      <c r="D32" s="247"/>
      <c r="E32" s="247"/>
      <c r="F32" s="248"/>
    </row>
    <row r="33" spans="3:6" ht="36" customHeight="1" x14ac:dyDescent="0.2">
      <c r="C33" s="249"/>
      <c r="D33" s="250"/>
      <c r="E33" s="250"/>
      <c r="F33" s="251"/>
    </row>
    <row r="34" spans="3:6" ht="24" customHeight="1" x14ac:dyDescent="0.2">
      <c r="C34" s="242" t="s">
        <v>387</v>
      </c>
      <c r="D34" s="243"/>
      <c r="E34" s="243"/>
      <c r="F34" s="244"/>
    </row>
    <row r="35" spans="3:6" ht="36" customHeight="1" x14ac:dyDescent="0.2">
      <c r="C35" s="246"/>
      <c r="D35" s="247"/>
      <c r="E35" s="247"/>
      <c r="F35" s="248"/>
    </row>
    <row r="36" spans="3:6" ht="36" customHeight="1" x14ac:dyDescent="0.2">
      <c r="C36" s="249"/>
      <c r="D36" s="250"/>
      <c r="E36" s="250"/>
      <c r="F36" s="251"/>
    </row>
    <row r="37" spans="3:6" ht="36" customHeight="1" x14ac:dyDescent="0.2">
      <c r="C37" s="252" t="s">
        <v>388</v>
      </c>
      <c r="D37" s="253"/>
      <c r="E37" s="253"/>
      <c r="F37" s="254"/>
    </row>
    <row r="38" spans="3:6" ht="22" customHeight="1" x14ac:dyDescent="0.2"/>
    <row r="39" spans="3:6" ht="22" customHeight="1" x14ac:dyDescent="0.2"/>
    <row r="40" spans="3:6" ht="22" customHeight="1" x14ac:dyDescent="0.2"/>
    <row r="41" spans="3:6" ht="22" customHeight="1" x14ac:dyDescent="0.2"/>
    <row r="42" spans="3:6" ht="22" customHeight="1" x14ac:dyDescent="0.2"/>
    <row r="43" spans="3:6" ht="22" customHeight="1" x14ac:dyDescent="0.2"/>
    <row r="44" spans="3:6" ht="22" customHeight="1" x14ac:dyDescent="0.2"/>
    <row r="45" spans="3:6" ht="22" customHeight="1" x14ac:dyDescent="0.2"/>
    <row r="46" spans="3:6" ht="22" customHeight="1" x14ac:dyDescent="0.2"/>
    <row r="47" spans="3:6" ht="22" customHeight="1" x14ac:dyDescent="0.2"/>
    <row r="48" spans="3:6" ht="22" customHeight="1" x14ac:dyDescent="0.2"/>
    <row r="49" ht="22" customHeight="1" x14ac:dyDescent="0.2"/>
    <row r="50" ht="22" customHeight="1" x14ac:dyDescent="0.2"/>
    <row r="51" ht="22" customHeight="1" x14ac:dyDescent="0.2"/>
    <row r="52" ht="22" customHeight="1" x14ac:dyDescent="0.2"/>
    <row r="53" ht="22" customHeight="1" x14ac:dyDescent="0.2"/>
    <row r="54" ht="22" customHeight="1" x14ac:dyDescent="0.2"/>
    <row r="55" ht="22" customHeight="1" x14ac:dyDescent="0.2"/>
    <row r="56" ht="22" customHeight="1" x14ac:dyDescent="0.2"/>
    <row r="57" ht="22" customHeight="1" x14ac:dyDescent="0.2"/>
    <row r="58" ht="22" customHeight="1" x14ac:dyDescent="0.2"/>
    <row r="59" ht="22" customHeight="1" x14ac:dyDescent="0.2"/>
    <row r="60" ht="22" customHeight="1" x14ac:dyDescent="0.2"/>
    <row r="61" ht="22" customHeight="1" x14ac:dyDescent="0.2"/>
    <row r="62" ht="22" customHeight="1" x14ac:dyDescent="0.2"/>
    <row r="63" ht="22" customHeight="1" x14ac:dyDescent="0.2"/>
    <row r="64" ht="22" customHeight="1" x14ac:dyDescent="0.2"/>
    <row r="65" ht="22" customHeight="1" x14ac:dyDescent="0.2"/>
    <row r="66" ht="22" customHeight="1" x14ac:dyDescent="0.2"/>
    <row r="67" ht="22" customHeight="1" x14ac:dyDescent="0.2"/>
    <row r="68" ht="22" customHeight="1" x14ac:dyDescent="0.2"/>
    <row r="69" ht="22" customHeight="1" x14ac:dyDescent="0.2"/>
    <row r="70" ht="22" customHeight="1" x14ac:dyDescent="0.2"/>
    <row r="71" ht="22" customHeight="1" x14ac:dyDescent="0.2"/>
    <row r="72" ht="22" customHeight="1" x14ac:dyDescent="0.2"/>
    <row r="73" ht="22" customHeight="1" x14ac:dyDescent="0.2"/>
    <row r="74" ht="22" customHeight="1" x14ac:dyDescent="0.2"/>
    <row r="75" ht="22" customHeight="1" x14ac:dyDescent="0.2"/>
    <row r="76" ht="22" customHeight="1" x14ac:dyDescent="0.2"/>
    <row r="77" ht="22" customHeight="1" x14ac:dyDescent="0.2"/>
    <row r="78" ht="22" customHeight="1" x14ac:dyDescent="0.2"/>
    <row r="79" ht="22" customHeight="1" x14ac:dyDescent="0.2"/>
  </sheetData>
  <sheetProtection algorithmName="SHA-512" hashValue="9T7UyjkMQMadMzg0m4DV34psJkSu1Rvo5gOKtfytVJ14jOVMLAGLTyTebiFQbJ+qZHZOko9CbqOy48QQfh0iZg==" saltValue="/ENBowAr5DSqpYoTs5dhzA==" spinCount="100000" sheet="1" objects="1" scenarios="1"/>
  <mergeCells count="21">
    <mergeCell ref="C29:F30"/>
    <mergeCell ref="C37:F37"/>
    <mergeCell ref="C35:F36"/>
    <mergeCell ref="C26:F27"/>
    <mergeCell ref="C32:F33"/>
    <mergeCell ref="C31:F31"/>
    <mergeCell ref="C34:F34"/>
    <mergeCell ref="C23:F24"/>
    <mergeCell ref="C12:F12"/>
    <mergeCell ref="C25:F25"/>
    <mergeCell ref="C28:F28"/>
    <mergeCell ref="C14:F15"/>
    <mergeCell ref="C20:F21"/>
    <mergeCell ref="C2:F2"/>
    <mergeCell ref="C13:F13"/>
    <mergeCell ref="C16:F16"/>
    <mergeCell ref="C19:F19"/>
    <mergeCell ref="C22:F22"/>
    <mergeCell ref="E4:F4"/>
    <mergeCell ref="C6:F6"/>
    <mergeCell ref="C17:F18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4472C4"/>
  </sheetPr>
  <dimension ref="C1:E59"/>
  <sheetViews>
    <sheetView showGridLines="0" workbookViewId="0">
      <selection activeCell="AE44" sqref="AE44"/>
    </sheetView>
  </sheetViews>
  <sheetFormatPr baseColWidth="10" defaultColWidth="8.83203125" defaultRowHeight="15" x14ac:dyDescent="0.2"/>
  <cols>
    <col min="1" max="1" width="2" customWidth="1"/>
    <col min="2" max="2" width="4" customWidth="1"/>
    <col min="3" max="3" width="36" customWidth="1"/>
    <col min="4" max="4" width="57.33203125" customWidth="1"/>
    <col min="5" max="5" width="47.5" customWidth="1"/>
    <col min="6" max="6" width="4" customWidth="1"/>
  </cols>
  <sheetData>
    <row r="1" spans="3:5" ht="8" customHeight="1" x14ac:dyDescent="0.2"/>
    <row r="2" spans="3:5" ht="44" customHeight="1" x14ac:dyDescent="0.2">
      <c r="C2" s="238" t="s">
        <v>389</v>
      </c>
      <c r="D2" s="174"/>
      <c r="E2" s="175"/>
    </row>
    <row r="3" spans="3:5" ht="8" customHeight="1" x14ac:dyDescent="0.2"/>
    <row r="4" spans="3:5" ht="28" customHeight="1" x14ac:dyDescent="0.2">
      <c r="C4" s="202" t="s">
        <v>390</v>
      </c>
      <c r="D4" s="175"/>
      <c r="E4" s="32" t="s">
        <v>391</v>
      </c>
    </row>
    <row r="5" spans="3:5" ht="20" customHeight="1" x14ac:dyDescent="0.2">
      <c r="C5" s="64" t="s">
        <v>392</v>
      </c>
      <c r="D5" s="65" t="s">
        <v>393</v>
      </c>
      <c r="E5" s="66" t="s">
        <v>394</v>
      </c>
    </row>
    <row r="6" spans="3:5" ht="20" customHeight="1" x14ac:dyDescent="0.2">
      <c r="C6" s="67" t="s">
        <v>395</v>
      </c>
      <c r="D6" s="68" t="s">
        <v>396</v>
      </c>
      <c r="E6" s="66" t="s">
        <v>397</v>
      </c>
    </row>
    <row r="7" spans="3:5" ht="20" customHeight="1" x14ac:dyDescent="0.2">
      <c r="C7" s="64" t="s">
        <v>398</v>
      </c>
      <c r="D7" s="65" t="s">
        <v>399</v>
      </c>
      <c r="E7" s="66" t="s">
        <v>400</v>
      </c>
    </row>
    <row r="8" spans="3:5" ht="20" customHeight="1" x14ac:dyDescent="0.2">
      <c r="C8" s="67" t="s">
        <v>401</v>
      </c>
      <c r="D8" s="68" t="s">
        <v>402</v>
      </c>
      <c r="E8" s="66" t="s">
        <v>403</v>
      </c>
    </row>
    <row r="9" spans="3:5" ht="20" customHeight="1" x14ac:dyDescent="0.2">
      <c r="C9" s="64" t="s">
        <v>404</v>
      </c>
      <c r="D9" s="65" t="s">
        <v>405</v>
      </c>
      <c r="E9" s="66" t="s">
        <v>406</v>
      </c>
    </row>
    <row r="10" spans="3:5" ht="20" customHeight="1" x14ac:dyDescent="0.2"/>
    <row r="11" spans="3:5" ht="28" customHeight="1" x14ac:dyDescent="0.2">
      <c r="C11" s="187" t="s">
        <v>407</v>
      </c>
      <c r="D11" s="174"/>
      <c r="E11" s="175"/>
    </row>
    <row r="12" spans="3:5" ht="20" customHeight="1" x14ac:dyDescent="0.2">
      <c r="C12" s="69" t="s">
        <v>408</v>
      </c>
      <c r="D12" s="70" t="s">
        <v>409</v>
      </c>
      <c r="E12" s="257"/>
    </row>
    <row r="13" spans="3:5" ht="20" customHeight="1" x14ac:dyDescent="0.2">
      <c r="C13" s="69" t="s">
        <v>410</v>
      </c>
      <c r="D13" s="70" t="s">
        <v>411</v>
      </c>
      <c r="E13" s="257"/>
    </row>
    <row r="14" spans="3:5" ht="20" customHeight="1" x14ac:dyDescent="0.2">
      <c r="C14" s="49" t="s">
        <v>412</v>
      </c>
      <c r="D14" s="49" t="s">
        <v>413</v>
      </c>
      <c r="E14" s="189"/>
    </row>
    <row r="15" spans="3:5" ht="20" customHeight="1" x14ac:dyDescent="0.2">
      <c r="C15" s="49" t="s">
        <v>414</v>
      </c>
      <c r="D15" s="49" t="s">
        <v>415</v>
      </c>
      <c r="E15" s="189"/>
    </row>
    <row r="16" spans="3:5" ht="20" customHeight="1" x14ac:dyDescent="0.2">
      <c r="C16" s="49" t="s">
        <v>416</v>
      </c>
      <c r="D16" s="49" t="s">
        <v>417</v>
      </c>
      <c r="E16" s="189"/>
    </row>
    <row r="17" spans="3:5" ht="20" customHeight="1" x14ac:dyDescent="0.2">
      <c r="C17" s="49" t="s">
        <v>418</v>
      </c>
      <c r="D17" s="49" t="s">
        <v>419</v>
      </c>
      <c r="E17" s="189"/>
    </row>
    <row r="18" spans="3:5" ht="20" customHeight="1" x14ac:dyDescent="0.2"/>
    <row r="19" spans="3:5" ht="20" customHeight="1" x14ac:dyDescent="0.2"/>
    <row r="20" spans="3:5" ht="8" customHeight="1" x14ac:dyDescent="0.2"/>
    <row r="21" spans="3:5" ht="28" customHeight="1" x14ac:dyDescent="0.2">
      <c r="C21" s="255" t="s">
        <v>420</v>
      </c>
      <c r="D21" s="174"/>
      <c r="E21" s="175"/>
    </row>
    <row r="22" spans="3:5" ht="22" customHeight="1" x14ac:dyDescent="0.2">
      <c r="C22" s="57" t="s">
        <v>421</v>
      </c>
      <c r="D22" s="165">
        <f>'🏦 Lịch Sử Vốn'!D43</f>
        <v>2000</v>
      </c>
      <c r="E22" s="71" t="s">
        <v>422</v>
      </c>
    </row>
    <row r="23" spans="3:5" ht="22" customHeight="1" x14ac:dyDescent="0.2">
      <c r="C23" s="57" t="s">
        <v>423</v>
      </c>
      <c r="D23" s="142">
        <v>0.01</v>
      </c>
      <c r="E23" s="71" t="s">
        <v>424</v>
      </c>
    </row>
    <row r="24" spans="3:5" ht="22" customHeight="1" x14ac:dyDescent="0.2">
      <c r="C24" s="57" t="s">
        <v>425</v>
      </c>
      <c r="D24" s="143">
        <v>30</v>
      </c>
      <c r="E24" s="71" t="s">
        <v>424</v>
      </c>
    </row>
    <row r="25" spans="3:5" ht="22" customHeight="1" x14ac:dyDescent="0.2">
      <c r="C25" s="57" t="s">
        <v>426</v>
      </c>
      <c r="D25" s="144">
        <v>1</v>
      </c>
      <c r="E25" s="71" t="s">
        <v>424</v>
      </c>
    </row>
    <row r="26" spans="3:5" ht="8" customHeight="1" x14ac:dyDescent="0.2"/>
    <row r="27" spans="3:5" ht="24" customHeight="1" x14ac:dyDescent="0.2">
      <c r="C27" s="202" t="s">
        <v>427</v>
      </c>
      <c r="D27" s="174"/>
      <c r="E27" s="175"/>
    </row>
    <row r="28" spans="3:5" ht="22" customHeight="1" x14ac:dyDescent="0.2">
      <c r="C28" s="72" t="s">
        <v>428</v>
      </c>
      <c r="D28" s="166">
        <f>IFERROR(D22*D23,0)</f>
        <v>20</v>
      </c>
      <c r="E28" s="14"/>
    </row>
    <row r="29" spans="3:5" ht="22" customHeight="1" x14ac:dyDescent="0.2">
      <c r="C29" s="72" t="s">
        <v>429</v>
      </c>
      <c r="D29" s="167">
        <f>IFERROR(D28/(D24*D25),0)</f>
        <v>0.66666666666666663</v>
      </c>
      <c r="E29" s="14"/>
    </row>
    <row r="30" spans="3:5" ht="22" customHeight="1" x14ac:dyDescent="0.2">
      <c r="C30" s="72" t="s">
        <v>430</v>
      </c>
      <c r="D30" s="168">
        <f>IFERROR(D29*10,0)</f>
        <v>6.6666666666666661</v>
      </c>
      <c r="E30" s="14"/>
    </row>
    <row r="31" spans="3:5" ht="22" customHeight="1" x14ac:dyDescent="0.2">
      <c r="C31" s="72" t="s">
        <v>431</v>
      </c>
      <c r="D31" s="169">
        <f>IFERROR(D29*100,0)</f>
        <v>66.666666666666657</v>
      </c>
      <c r="E31" s="14"/>
    </row>
    <row r="32" spans="3:5" ht="20" customHeight="1" x14ac:dyDescent="0.2"/>
    <row r="33" spans="3:5" ht="8" customHeight="1" x14ac:dyDescent="0.2"/>
    <row r="34" spans="3:5" ht="28" customHeight="1" x14ac:dyDescent="0.2">
      <c r="C34" s="256" t="s">
        <v>432</v>
      </c>
      <c r="D34" s="174"/>
      <c r="E34" s="175"/>
    </row>
    <row r="35" spans="3:5" ht="22" customHeight="1" x14ac:dyDescent="0.2">
      <c r="C35" s="73" t="s">
        <v>433</v>
      </c>
      <c r="D35" s="74" t="s">
        <v>434</v>
      </c>
      <c r="E35" s="170">
        <f>IFERROR(D29*0.2,0)</f>
        <v>0.13333333333333333</v>
      </c>
    </row>
    <row r="36" spans="3:5" ht="22" customHeight="1" x14ac:dyDescent="0.2">
      <c r="C36" s="73" t="s">
        <v>435</v>
      </c>
      <c r="D36" s="74" t="s">
        <v>434</v>
      </c>
      <c r="E36" s="170">
        <f>IFERROR(D29*0.2,0)</f>
        <v>0.13333333333333333</v>
      </c>
    </row>
    <row r="37" spans="3:5" ht="22" customHeight="1" x14ac:dyDescent="0.2">
      <c r="C37" s="73" t="s">
        <v>436</v>
      </c>
      <c r="D37" s="74" t="s">
        <v>437</v>
      </c>
      <c r="E37" s="170">
        <f>IFERROR(D29*0.6,0)</f>
        <v>0.39999999999999997</v>
      </c>
    </row>
    <row r="38" spans="3:5" ht="20" customHeight="1" x14ac:dyDescent="0.2"/>
    <row r="39" spans="3:5" ht="36" customHeight="1" x14ac:dyDescent="0.2">
      <c r="C39" s="236" t="s">
        <v>438</v>
      </c>
      <c r="D39" s="174"/>
      <c r="E39" s="175"/>
    </row>
    <row r="40" spans="3:5" ht="20" customHeight="1" x14ac:dyDescent="0.2"/>
    <row r="41" spans="3:5" ht="20" customHeight="1" x14ac:dyDescent="0.2"/>
    <row r="42" spans="3:5" ht="20" customHeight="1" x14ac:dyDescent="0.2"/>
    <row r="43" spans="3:5" ht="20" customHeight="1" x14ac:dyDescent="0.2"/>
    <row r="44" spans="3:5" ht="20" customHeight="1" x14ac:dyDescent="0.2"/>
    <row r="45" spans="3:5" ht="20" customHeight="1" x14ac:dyDescent="0.2"/>
    <row r="46" spans="3:5" ht="20" customHeight="1" x14ac:dyDescent="0.2"/>
    <row r="47" spans="3:5" ht="20" customHeight="1" x14ac:dyDescent="0.2"/>
    <row r="48" spans="3:5" ht="20" customHeight="1" x14ac:dyDescent="0.2"/>
    <row r="49" ht="20" customHeight="1" x14ac:dyDescent="0.2"/>
    <row r="50" ht="20" customHeight="1" x14ac:dyDescent="0.2"/>
    <row r="51" ht="20" customHeight="1" x14ac:dyDescent="0.2"/>
    <row r="52" ht="20" customHeight="1" x14ac:dyDescent="0.2"/>
    <row r="53" ht="20" customHeight="1" x14ac:dyDescent="0.2"/>
    <row r="54" ht="20" customHeight="1" x14ac:dyDescent="0.2"/>
    <row r="55" ht="20" customHeight="1" x14ac:dyDescent="0.2"/>
    <row r="56" ht="20" customHeight="1" x14ac:dyDescent="0.2"/>
    <row r="57" ht="20" customHeight="1" x14ac:dyDescent="0.2"/>
    <row r="58" ht="20" customHeight="1" x14ac:dyDescent="0.2"/>
    <row r="59" ht="20" customHeight="1" x14ac:dyDescent="0.2"/>
  </sheetData>
  <sheetProtection algorithmName="SHA-512" hashValue="xhoQ5fJcqD66Yqs67yW0dJMuwNFk72NXCSoSQl8uxN+EsJkljs8RJKgGivoYQJ3KUDgtOu4Oz9C9V3PTgAid8Q==" saltValue="8sQxDXzJZrlWx9GZd5S15Q==" spinCount="100000" sheet="1" objects="1" scenarios="1"/>
  <mergeCells count="13">
    <mergeCell ref="C2:E2"/>
    <mergeCell ref="C11:E11"/>
    <mergeCell ref="C27:E27"/>
    <mergeCell ref="E17"/>
    <mergeCell ref="E12"/>
    <mergeCell ref="E13"/>
    <mergeCell ref="E14"/>
    <mergeCell ref="C4:D4"/>
    <mergeCell ref="C39:E39"/>
    <mergeCell ref="E15"/>
    <mergeCell ref="E16"/>
    <mergeCell ref="C21:E21"/>
    <mergeCell ref="C34:E34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70AD47"/>
  </sheetPr>
  <dimension ref="C1:E79"/>
  <sheetViews>
    <sheetView showGridLines="0" workbookViewId="0">
      <selection activeCell="AF43" sqref="AF43"/>
    </sheetView>
  </sheetViews>
  <sheetFormatPr baseColWidth="10" defaultColWidth="8.83203125" defaultRowHeight="15" x14ac:dyDescent="0.2"/>
  <cols>
    <col min="1" max="1" width="2" customWidth="1"/>
    <col min="2" max="2" width="4" customWidth="1"/>
    <col min="3" max="3" width="32" customWidth="1"/>
    <col min="4" max="4" width="56" customWidth="1"/>
    <col min="5" max="5" width="36.5" customWidth="1"/>
    <col min="6" max="6" width="4" customWidth="1"/>
  </cols>
  <sheetData>
    <row r="1" spans="3:5" ht="8" customHeight="1" x14ac:dyDescent="0.2"/>
    <row r="2" spans="3:5" ht="44" customHeight="1" x14ac:dyDescent="0.2">
      <c r="C2" s="238" t="s">
        <v>439</v>
      </c>
      <c r="D2" s="174"/>
      <c r="E2" s="175"/>
    </row>
    <row r="3" spans="3:5" ht="8" customHeight="1" x14ac:dyDescent="0.2"/>
    <row r="4" spans="3:5" ht="28" customHeight="1" x14ac:dyDescent="0.2">
      <c r="C4" s="255" t="s">
        <v>440</v>
      </c>
      <c r="D4" s="174"/>
      <c r="E4" s="175"/>
    </row>
    <row r="5" spans="3:5" ht="22" customHeight="1" x14ac:dyDescent="0.2">
      <c r="C5" s="57" t="s">
        <v>441</v>
      </c>
      <c r="D5" s="145">
        <v>100000000</v>
      </c>
      <c r="E5" s="71" t="s">
        <v>424</v>
      </c>
    </row>
    <row r="6" spans="3:5" ht="22" customHeight="1" x14ac:dyDescent="0.2">
      <c r="C6" s="57" t="s">
        <v>442</v>
      </c>
      <c r="D6" s="142">
        <v>0.05</v>
      </c>
      <c r="E6" s="71" t="s">
        <v>424</v>
      </c>
    </row>
    <row r="7" spans="3:5" ht="22" customHeight="1" x14ac:dyDescent="0.2">
      <c r="C7" s="57" t="s">
        <v>443</v>
      </c>
      <c r="D7" s="146">
        <v>10</v>
      </c>
      <c r="E7" s="71" t="s">
        <v>424</v>
      </c>
    </row>
    <row r="8" spans="3:5" ht="8" customHeight="1" x14ac:dyDescent="0.2"/>
    <row r="9" spans="3:5" ht="24" customHeight="1" x14ac:dyDescent="0.2">
      <c r="C9" s="260" t="s">
        <v>444</v>
      </c>
      <c r="D9" s="174"/>
      <c r="E9" s="175"/>
    </row>
    <row r="10" spans="3:5" ht="22" customHeight="1" x14ac:dyDescent="0.2">
      <c r="C10" s="75" t="s">
        <v>445</v>
      </c>
      <c r="D10" s="76">
        <f>D5*(1+D6)^D7</f>
        <v>162889462.67774415</v>
      </c>
      <c r="E10" s="14"/>
    </row>
    <row r="11" spans="3:5" ht="22" customHeight="1" x14ac:dyDescent="0.2">
      <c r="C11" s="75" t="s">
        <v>446</v>
      </c>
      <c r="D11" s="76">
        <f>D9-D5</f>
        <v>-100000000</v>
      </c>
      <c r="E11" s="14"/>
    </row>
    <row r="12" spans="3:5" ht="22" customHeight="1" x14ac:dyDescent="0.2">
      <c r="C12" s="75" t="s">
        <v>447</v>
      </c>
      <c r="D12" s="77">
        <f>FV(D6,D7,,-D5)</f>
        <v>162889462.67774415</v>
      </c>
      <c r="E12" s="14"/>
    </row>
    <row r="13" spans="3:5" ht="8" customHeight="1" x14ac:dyDescent="0.2"/>
    <row r="14" spans="3:5" ht="28" customHeight="1" x14ac:dyDescent="0.2">
      <c r="C14" s="259" t="s">
        <v>448</v>
      </c>
      <c r="D14" s="174"/>
      <c r="E14" s="175"/>
    </row>
    <row r="15" spans="3:5" ht="22" customHeight="1" x14ac:dyDescent="0.2">
      <c r="C15" s="57" t="s">
        <v>441</v>
      </c>
      <c r="D15" s="145">
        <v>5000</v>
      </c>
      <c r="E15" s="71" t="s">
        <v>424</v>
      </c>
    </row>
    <row r="16" spans="3:5" ht="22" customHeight="1" x14ac:dyDescent="0.2">
      <c r="C16" s="57" t="s">
        <v>442</v>
      </c>
      <c r="D16" s="142">
        <v>0.05</v>
      </c>
      <c r="E16" s="71" t="s">
        <v>424</v>
      </c>
    </row>
    <row r="17" spans="3:5" ht="22" customHeight="1" x14ac:dyDescent="0.2">
      <c r="C17" s="57" t="s">
        <v>443</v>
      </c>
      <c r="D17" s="146">
        <v>10</v>
      </c>
      <c r="E17" s="71" t="s">
        <v>424</v>
      </c>
    </row>
    <row r="18" spans="3:5" ht="22" customHeight="1" x14ac:dyDescent="0.2">
      <c r="C18" s="57" t="s">
        <v>449</v>
      </c>
      <c r="D18" s="147">
        <v>4</v>
      </c>
      <c r="E18" s="71" t="s">
        <v>424</v>
      </c>
    </row>
    <row r="19" spans="3:5" ht="8" customHeight="1" x14ac:dyDescent="0.2"/>
    <row r="20" spans="3:5" ht="24" customHeight="1" x14ac:dyDescent="0.2">
      <c r="C20" s="261" t="s">
        <v>444</v>
      </c>
      <c r="D20" s="174"/>
      <c r="E20" s="175"/>
    </row>
    <row r="21" spans="3:5" ht="22" customHeight="1" x14ac:dyDescent="0.2">
      <c r="C21" s="75" t="s">
        <v>445</v>
      </c>
      <c r="D21" s="76">
        <f>D15*(1+D16/D18)^(D17*D18)</f>
        <v>8218.097317435062</v>
      </c>
      <c r="E21" s="14"/>
    </row>
    <row r="22" spans="3:5" ht="22" customHeight="1" x14ac:dyDescent="0.2">
      <c r="C22" s="75" t="s">
        <v>446</v>
      </c>
      <c r="D22" s="76">
        <f>D20-D15</f>
        <v>-5000</v>
      </c>
      <c r="E22" s="14"/>
    </row>
    <row r="23" spans="3:5" ht="8" customHeight="1" x14ac:dyDescent="0.2"/>
    <row r="24" spans="3:5" ht="28" customHeight="1" x14ac:dyDescent="0.2">
      <c r="C24" s="262" t="s">
        <v>450</v>
      </c>
      <c r="D24" s="174"/>
      <c r="E24" s="175"/>
    </row>
    <row r="25" spans="3:5" ht="22" customHeight="1" x14ac:dyDescent="0.2">
      <c r="C25" s="57" t="s">
        <v>451</v>
      </c>
      <c r="D25" s="142">
        <v>0.12</v>
      </c>
      <c r="E25" s="71" t="s">
        <v>452</v>
      </c>
    </row>
    <row r="26" spans="3:5" ht="22" customHeight="1" x14ac:dyDescent="0.2">
      <c r="C26" s="75" t="s">
        <v>453</v>
      </c>
      <c r="D26" s="78">
        <f>72/(D25*100)</f>
        <v>6</v>
      </c>
    </row>
    <row r="27" spans="3:5" ht="22" customHeight="1" x14ac:dyDescent="0.2"/>
    <row r="28" spans="3:5" ht="8" customHeight="1" x14ac:dyDescent="0.2"/>
    <row r="29" spans="3:5" ht="28" customHeight="1" x14ac:dyDescent="0.2">
      <c r="C29" s="256" t="s">
        <v>454</v>
      </c>
      <c r="D29" s="174"/>
      <c r="E29" s="175"/>
    </row>
    <row r="30" spans="3:5" ht="22" customHeight="1" x14ac:dyDescent="0.2">
      <c r="C30" s="57" t="s">
        <v>455</v>
      </c>
      <c r="D30" s="148">
        <v>100000000</v>
      </c>
      <c r="E30" s="71" t="s">
        <v>456</v>
      </c>
    </row>
    <row r="31" spans="3:5" ht="22" customHeight="1" x14ac:dyDescent="0.2">
      <c r="C31" s="57" t="s">
        <v>457</v>
      </c>
      <c r="D31" s="149">
        <v>0.05</v>
      </c>
    </row>
    <row r="32" spans="3:5" ht="22" customHeight="1" x14ac:dyDescent="0.2">
      <c r="C32" s="57" t="s">
        <v>458</v>
      </c>
      <c r="D32" s="150">
        <v>20</v>
      </c>
    </row>
    <row r="33" spans="3:5" ht="22" customHeight="1" x14ac:dyDescent="0.2">
      <c r="C33" s="258" t="s">
        <v>444</v>
      </c>
      <c r="D33" s="174"/>
      <c r="E33" s="175"/>
    </row>
    <row r="34" spans="3:5" ht="22" customHeight="1" x14ac:dyDescent="0.2">
      <c r="C34" s="73" t="s">
        <v>459</v>
      </c>
      <c r="D34" s="76">
        <f>PV(D31,D32,,-D30)</f>
        <v>37688948.287300058</v>
      </c>
    </row>
    <row r="35" spans="3:5" ht="22" customHeight="1" x14ac:dyDescent="0.2">
      <c r="C35" s="73" t="s">
        <v>460</v>
      </c>
      <c r="D35" s="76">
        <f>PMT(D31,D32,,-D30)</f>
        <v>3024258.7190691307</v>
      </c>
    </row>
    <row r="36" spans="3:5" ht="22" customHeight="1" x14ac:dyDescent="0.2">
      <c r="C36" s="73" t="s">
        <v>461</v>
      </c>
      <c r="D36" s="76">
        <f>PMT(D31/12,D32*12,,-D30)</f>
        <v>243289.07254999081</v>
      </c>
    </row>
    <row r="37" spans="3:5" ht="22" customHeight="1" x14ac:dyDescent="0.2"/>
    <row r="38" spans="3:5" ht="22" customHeight="1" x14ac:dyDescent="0.2"/>
    <row r="39" spans="3:5" ht="22" customHeight="1" x14ac:dyDescent="0.2"/>
    <row r="40" spans="3:5" ht="22" customHeight="1" x14ac:dyDescent="0.2"/>
    <row r="41" spans="3:5" ht="22" customHeight="1" x14ac:dyDescent="0.2"/>
    <row r="42" spans="3:5" ht="22" customHeight="1" x14ac:dyDescent="0.2"/>
    <row r="43" spans="3:5" ht="22" customHeight="1" x14ac:dyDescent="0.2"/>
    <row r="44" spans="3:5" ht="22" customHeight="1" x14ac:dyDescent="0.2"/>
    <row r="45" spans="3:5" ht="22" customHeight="1" x14ac:dyDescent="0.2"/>
    <row r="46" spans="3:5" ht="22" customHeight="1" x14ac:dyDescent="0.2"/>
    <row r="47" spans="3:5" ht="22" customHeight="1" x14ac:dyDescent="0.2"/>
    <row r="48" spans="3:5" ht="22" customHeight="1" x14ac:dyDescent="0.2"/>
    <row r="49" ht="22" customHeight="1" x14ac:dyDescent="0.2"/>
    <row r="50" ht="22" customHeight="1" x14ac:dyDescent="0.2"/>
    <row r="51" ht="22" customHeight="1" x14ac:dyDescent="0.2"/>
    <row r="52" ht="22" customHeight="1" x14ac:dyDescent="0.2"/>
    <row r="53" ht="22" customHeight="1" x14ac:dyDescent="0.2"/>
    <row r="54" ht="22" customHeight="1" x14ac:dyDescent="0.2"/>
    <row r="55" ht="22" customHeight="1" x14ac:dyDescent="0.2"/>
    <row r="56" ht="22" customHeight="1" x14ac:dyDescent="0.2"/>
    <row r="57" ht="22" customHeight="1" x14ac:dyDescent="0.2"/>
    <row r="58" ht="22" customHeight="1" x14ac:dyDescent="0.2"/>
    <row r="59" ht="22" customHeight="1" x14ac:dyDescent="0.2"/>
    <row r="60" ht="22" customHeight="1" x14ac:dyDescent="0.2"/>
    <row r="61" ht="22" customHeight="1" x14ac:dyDescent="0.2"/>
    <row r="62" ht="22" customHeight="1" x14ac:dyDescent="0.2"/>
    <row r="63" ht="22" customHeight="1" x14ac:dyDescent="0.2"/>
    <row r="64" ht="22" customHeight="1" x14ac:dyDescent="0.2"/>
    <row r="65" ht="22" customHeight="1" x14ac:dyDescent="0.2"/>
    <row r="66" ht="22" customHeight="1" x14ac:dyDescent="0.2"/>
    <row r="67" ht="22" customHeight="1" x14ac:dyDescent="0.2"/>
    <row r="68" ht="22" customHeight="1" x14ac:dyDescent="0.2"/>
    <row r="69" ht="22" customHeight="1" x14ac:dyDescent="0.2"/>
    <row r="70" ht="22" customHeight="1" x14ac:dyDescent="0.2"/>
    <row r="71" ht="22" customHeight="1" x14ac:dyDescent="0.2"/>
    <row r="72" ht="22" customHeight="1" x14ac:dyDescent="0.2"/>
    <row r="73" ht="22" customHeight="1" x14ac:dyDescent="0.2"/>
    <row r="74" ht="22" customHeight="1" x14ac:dyDescent="0.2"/>
    <row r="75" ht="22" customHeight="1" x14ac:dyDescent="0.2"/>
    <row r="76" ht="22" customHeight="1" x14ac:dyDescent="0.2"/>
    <row r="77" ht="22" customHeight="1" x14ac:dyDescent="0.2"/>
    <row r="78" ht="22" customHeight="1" x14ac:dyDescent="0.2"/>
    <row r="79" ht="22" customHeight="1" x14ac:dyDescent="0.2"/>
  </sheetData>
  <sheetProtection algorithmName="SHA-512" hashValue="12LeIJmdEzSpuphdm4gMehk50g8TIkR8n8zPvokBeRkrAe8jqxMVIIyEIy+OXBNlo5lEWoLSQaQJwDKilA6vfQ==" saltValue="bgIzAYtZaoxaiQVIBbX46Q==" spinCount="100000" sheet="1" objects="1" scenarios="1"/>
  <mergeCells count="8">
    <mergeCell ref="C2:E2"/>
    <mergeCell ref="C33:E33"/>
    <mergeCell ref="C14:E14"/>
    <mergeCell ref="C9:E9"/>
    <mergeCell ref="C4:E4"/>
    <mergeCell ref="C29:E29"/>
    <mergeCell ref="C20:E20"/>
    <mergeCell ref="C24:E24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ED7D31"/>
  </sheetPr>
  <dimension ref="B1:L59"/>
  <sheetViews>
    <sheetView showGridLines="0" workbookViewId="0">
      <selection activeCell="AM44" sqref="AM44"/>
    </sheetView>
  </sheetViews>
  <sheetFormatPr baseColWidth="10" defaultColWidth="8.83203125" defaultRowHeight="15" x14ac:dyDescent="0.2"/>
  <cols>
    <col min="1" max="1" width="2" customWidth="1"/>
    <col min="2" max="2" width="14" customWidth="1"/>
    <col min="3" max="11" width="10" customWidth="1"/>
    <col min="12" max="12" width="28" customWidth="1"/>
    <col min="13" max="13" width="2" customWidth="1"/>
  </cols>
  <sheetData>
    <row r="1" spans="2:12" ht="8" customHeight="1" x14ac:dyDescent="0.2"/>
    <row r="2" spans="2:12" ht="44" customHeight="1" x14ac:dyDescent="0.2">
      <c r="B2" s="215" t="s">
        <v>462</v>
      </c>
      <c r="C2" s="174"/>
      <c r="D2" s="174"/>
      <c r="E2" s="174"/>
      <c r="F2" s="174"/>
      <c r="G2" s="174"/>
      <c r="H2" s="174"/>
      <c r="I2" s="174"/>
      <c r="J2" s="174"/>
      <c r="K2" s="174"/>
      <c r="L2" s="175"/>
    </row>
    <row r="3" spans="2:12" ht="8" customHeight="1" x14ac:dyDescent="0.2"/>
    <row r="4" spans="2:12" ht="28" customHeight="1" x14ac:dyDescent="0.2">
      <c r="B4" s="173" t="s">
        <v>3</v>
      </c>
      <c r="C4" s="174"/>
      <c r="D4" s="174"/>
      <c r="E4" s="174"/>
      <c r="F4" s="174"/>
      <c r="G4" s="174"/>
      <c r="H4" s="174"/>
      <c r="I4" s="174"/>
      <c r="J4" s="174"/>
      <c r="K4" s="174"/>
      <c r="L4" s="175"/>
    </row>
    <row r="5" spans="2:12" ht="20" customHeight="1" x14ac:dyDescent="0.2">
      <c r="B5" s="64" t="s">
        <v>463</v>
      </c>
      <c r="C5" s="151" t="s">
        <v>464</v>
      </c>
      <c r="D5" s="151" t="s">
        <v>464</v>
      </c>
      <c r="E5" s="151" t="s">
        <v>464</v>
      </c>
      <c r="F5" s="151" t="s">
        <v>464</v>
      </c>
      <c r="G5" s="151" t="s">
        <v>464</v>
      </c>
      <c r="H5" s="151" t="s">
        <v>464</v>
      </c>
      <c r="I5" s="151" t="s">
        <v>464</v>
      </c>
      <c r="J5" s="151" t="s">
        <v>464</v>
      </c>
      <c r="K5" s="151" t="s">
        <v>464</v>
      </c>
      <c r="L5" s="152"/>
    </row>
    <row r="6" spans="2:12" ht="20" customHeight="1" x14ac:dyDescent="0.2">
      <c r="B6" s="67" t="s">
        <v>465</v>
      </c>
      <c r="C6" s="151" t="s">
        <v>464</v>
      </c>
      <c r="D6" s="153" t="s">
        <v>466</v>
      </c>
      <c r="E6" s="153"/>
      <c r="F6" s="153"/>
      <c r="G6" s="153"/>
      <c r="H6" s="153"/>
      <c r="I6" s="153"/>
      <c r="J6" s="153"/>
      <c r="K6" s="153"/>
      <c r="L6" s="154"/>
    </row>
    <row r="7" spans="2:12" ht="20" customHeight="1" x14ac:dyDescent="0.2">
      <c r="B7" s="64" t="s">
        <v>23</v>
      </c>
      <c r="C7" s="155"/>
      <c r="D7" s="155"/>
      <c r="E7" s="155"/>
      <c r="F7" s="155"/>
      <c r="G7" s="155"/>
      <c r="H7" s="155"/>
      <c r="I7" s="155"/>
      <c r="J7" s="155"/>
      <c r="K7" s="155"/>
      <c r="L7" s="152"/>
    </row>
    <row r="8" spans="2:12" ht="20" customHeight="1" x14ac:dyDescent="0.2">
      <c r="B8" s="67" t="s">
        <v>467</v>
      </c>
      <c r="C8" s="153"/>
      <c r="D8" s="153"/>
      <c r="E8" s="153"/>
      <c r="F8" s="153"/>
      <c r="G8" s="153"/>
      <c r="H8" s="153"/>
      <c r="I8" s="153"/>
      <c r="J8" s="153"/>
      <c r="K8" s="153"/>
      <c r="L8" s="154"/>
    </row>
    <row r="9" spans="2:12" ht="20" customHeight="1" x14ac:dyDescent="0.2">
      <c r="B9" s="64" t="s">
        <v>468</v>
      </c>
      <c r="C9" s="155"/>
      <c r="D9" s="155"/>
      <c r="E9" s="155"/>
      <c r="F9" s="155"/>
      <c r="G9" s="155"/>
      <c r="H9" s="155"/>
      <c r="I9" s="155"/>
      <c r="J9" s="155"/>
      <c r="K9" s="155"/>
      <c r="L9" s="152"/>
    </row>
    <row r="10" spans="2:12" ht="20" customHeight="1" x14ac:dyDescent="0.2">
      <c r="B10" s="67" t="s">
        <v>469</v>
      </c>
      <c r="C10" s="153"/>
      <c r="D10" s="153"/>
      <c r="E10" s="153"/>
      <c r="F10" s="153"/>
      <c r="G10" s="153"/>
      <c r="H10" s="153"/>
      <c r="I10" s="153"/>
      <c r="J10" s="153"/>
      <c r="K10" s="153"/>
      <c r="L10" s="154"/>
    </row>
    <row r="11" spans="2:12" ht="20" customHeight="1" x14ac:dyDescent="0.2">
      <c r="B11" s="64" t="s">
        <v>470</v>
      </c>
      <c r="C11" s="155"/>
      <c r="D11" s="155"/>
      <c r="E11" s="155"/>
      <c r="F11" s="155"/>
      <c r="G11" s="155"/>
      <c r="H11" s="155"/>
      <c r="I11" s="155"/>
      <c r="J11" s="155"/>
      <c r="K11" s="155"/>
      <c r="L11" s="152"/>
    </row>
    <row r="12" spans="2:12" ht="20" customHeight="1" x14ac:dyDescent="0.2">
      <c r="B12" s="67" t="s">
        <v>471</v>
      </c>
      <c r="C12" s="153"/>
      <c r="D12" s="153"/>
      <c r="E12" s="153"/>
      <c r="F12" s="153"/>
      <c r="G12" s="153"/>
      <c r="H12" s="153"/>
      <c r="I12" s="153"/>
      <c r="J12" s="153"/>
      <c r="K12" s="153"/>
      <c r="L12" s="154"/>
    </row>
    <row r="13" spans="2:12" ht="20" customHeight="1" x14ac:dyDescent="0.2">
      <c r="B13" s="64" t="s">
        <v>472</v>
      </c>
      <c r="C13" s="155"/>
      <c r="D13" s="155"/>
      <c r="E13" s="155"/>
      <c r="F13" s="155"/>
      <c r="G13" s="155"/>
      <c r="H13" s="155"/>
      <c r="I13" s="155"/>
      <c r="J13" s="155"/>
      <c r="K13" s="155"/>
      <c r="L13" s="152"/>
    </row>
    <row r="14" spans="2:12" ht="20" customHeight="1" x14ac:dyDescent="0.2">
      <c r="B14" s="67" t="s">
        <v>473</v>
      </c>
      <c r="C14" s="153"/>
      <c r="D14" s="153"/>
      <c r="E14" s="153"/>
      <c r="F14" s="153"/>
      <c r="G14" s="153"/>
      <c r="H14" s="153"/>
      <c r="I14" s="153"/>
      <c r="J14" s="153"/>
      <c r="K14" s="153"/>
      <c r="L14" s="154"/>
    </row>
    <row r="15" spans="2:12" ht="20" customHeight="1" x14ac:dyDescent="0.2">
      <c r="B15" s="64" t="s">
        <v>474</v>
      </c>
      <c r="C15" s="155"/>
      <c r="D15" s="155"/>
      <c r="E15" s="155"/>
      <c r="F15" s="155"/>
      <c r="G15" s="155"/>
      <c r="H15" s="155"/>
      <c r="I15" s="155"/>
      <c r="J15" s="155"/>
      <c r="K15" s="155"/>
      <c r="L15" s="152"/>
    </row>
    <row r="16" spans="2:12" ht="20" customHeight="1" x14ac:dyDescent="0.2">
      <c r="B16" s="67" t="s">
        <v>475</v>
      </c>
      <c r="C16" s="153"/>
      <c r="D16" s="153"/>
      <c r="E16" s="153"/>
      <c r="F16" s="153"/>
      <c r="G16" s="153"/>
      <c r="H16" s="153"/>
      <c r="I16" s="153"/>
      <c r="J16" s="153"/>
      <c r="K16" s="153"/>
      <c r="L16" s="154"/>
    </row>
    <row r="17" spans="2:12" ht="20" customHeight="1" x14ac:dyDescent="0.2">
      <c r="B17" s="64" t="s">
        <v>476</v>
      </c>
      <c r="C17" s="155"/>
      <c r="D17" s="155"/>
      <c r="E17" s="155"/>
      <c r="F17" s="155"/>
      <c r="G17" s="155"/>
      <c r="H17" s="155"/>
      <c r="I17" s="155"/>
      <c r="J17" s="155"/>
      <c r="K17" s="155"/>
      <c r="L17" s="152"/>
    </row>
    <row r="18" spans="2:12" ht="20" customHeight="1" x14ac:dyDescent="0.2">
      <c r="B18" s="67" t="s">
        <v>477</v>
      </c>
      <c r="C18" s="153"/>
      <c r="D18" s="153"/>
      <c r="E18" s="153"/>
      <c r="F18" s="153"/>
      <c r="G18" s="153"/>
      <c r="H18" s="153"/>
      <c r="I18" s="153"/>
      <c r="J18" s="153"/>
      <c r="K18" s="153"/>
      <c r="L18" s="154"/>
    </row>
    <row r="19" spans="2:12" ht="20" customHeight="1" x14ac:dyDescent="0.2">
      <c r="B19" s="64" t="s">
        <v>478</v>
      </c>
      <c r="C19" s="155"/>
      <c r="D19" s="155"/>
      <c r="E19" s="155"/>
      <c r="F19" s="155"/>
      <c r="G19" s="155"/>
      <c r="H19" s="155"/>
      <c r="I19" s="155"/>
      <c r="J19" s="155"/>
      <c r="K19" s="155"/>
      <c r="L19" s="152"/>
    </row>
    <row r="20" spans="2:12" ht="20" customHeight="1" x14ac:dyDescent="0.2"/>
    <row r="21" spans="2:12" ht="20" customHeight="1" x14ac:dyDescent="0.2"/>
    <row r="22" spans="2:12" ht="8" customHeight="1" x14ac:dyDescent="0.2"/>
    <row r="23" spans="2:12" ht="28" customHeight="1" x14ac:dyDescent="0.2">
      <c r="B23" s="205" t="s">
        <v>479</v>
      </c>
      <c r="C23" s="174"/>
      <c r="D23" s="174"/>
      <c r="E23" s="174"/>
      <c r="F23" s="174"/>
      <c r="G23" s="175"/>
      <c r="H23" s="187" t="s">
        <v>480</v>
      </c>
      <c r="I23" s="174"/>
      <c r="J23" s="174"/>
      <c r="K23" s="174"/>
      <c r="L23" s="175"/>
    </row>
    <row r="24" spans="2:12" ht="20" customHeight="1" x14ac:dyDescent="0.2">
      <c r="B24" s="80" t="s">
        <v>481</v>
      </c>
      <c r="C24" s="264" t="s">
        <v>482</v>
      </c>
      <c r="D24" s="174"/>
      <c r="E24" s="174"/>
      <c r="F24" s="174"/>
      <c r="G24" s="175"/>
      <c r="H24" s="66" t="s">
        <v>481</v>
      </c>
      <c r="I24" s="263" t="s">
        <v>483</v>
      </c>
      <c r="J24" s="174"/>
      <c r="K24" s="174"/>
      <c r="L24" s="175"/>
    </row>
    <row r="25" spans="2:12" ht="20" customHeight="1" x14ac:dyDescent="0.2">
      <c r="B25" s="81" t="s">
        <v>484</v>
      </c>
      <c r="C25" s="199" t="s">
        <v>485</v>
      </c>
      <c r="D25" s="174"/>
      <c r="E25" s="174"/>
      <c r="F25" s="174"/>
      <c r="G25" s="175"/>
      <c r="H25" s="82" t="s">
        <v>484</v>
      </c>
      <c r="I25" s="199" t="s">
        <v>486</v>
      </c>
      <c r="J25" s="174"/>
      <c r="K25" s="174"/>
      <c r="L25" s="175"/>
    </row>
    <row r="26" spans="2:12" ht="20" customHeight="1" x14ac:dyDescent="0.2">
      <c r="B26" s="80" t="s">
        <v>487</v>
      </c>
      <c r="C26" s="264" t="s">
        <v>488</v>
      </c>
      <c r="D26" s="174"/>
      <c r="E26" s="174"/>
      <c r="F26" s="174"/>
      <c r="G26" s="175"/>
      <c r="H26" s="66" t="s">
        <v>487</v>
      </c>
      <c r="I26" s="263" t="s">
        <v>489</v>
      </c>
      <c r="J26" s="174"/>
      <c r="K26" s="174"/>
      <c r="L26" s="175"/>
    </row>
    <row r="27" spans="2:12" ht="20" customHeight="1" x14ac:dyDescent="0.2">
      <c r="B27" s="81" t="s">
        <v>490</v>
      </c>
      <c r="C27" s="199" t="s">
        <v>491</v>
      </c>
      <c r="D27" s="174"/>
      <c r="E27" s="174"/>
      <c r="F27" s="174"/>
      <c r="G27" s="175"/>
      <c r="H27" s="82" t="s">
        <v>490</v>
      </c>
      <c r="I27" s="199" t="s">
        <v>492</v>
      </c>
      <c r="J27" s="174"/>
      <c r="K27" s="174"/>
      <c r="L27" s="175"/>
    </row>
    <row r="28" spans="2:12" ht="20" customHeight="1" x14ac:dyDescent="0.2">
      <c r="B28" s="80" t="s">
        <v>493</v>
      </c>
      <c r="C28" s="264" t="s">
        <v>494</v>
      </c>
      <c r="D28" s="174"/>
      <c r="E28" s="174"/>
      <c r="F28" s="174"/>
      <c r="G28" s="175"/>
      <c r="H28" s="66" t="s">
        <v>493</v>
      </c>
      <c r="I28" s="263" t="s">
        <v>495</v>
      </c>
      <c r="J28" s="174"/>
      <c r="K28" s="174"/>
      <c r="L28" s="175"/>
    </row>
    <row r="29" spans="2:12" ht="20" customHeight="1" x14ac:dyDescent="0.2">
      <c r="B29" s="81" t="s">
        <v>496</v>
      </c>
      <c r="C29" s="199" t="s">
        <v>497</v>
      </c>
      <c r="D29" s="174"/>
      <c r="E29" s="174"/>
      <c r="F29" s="174"/>
      <c r="G29" s="175"/>
      <c r="H29" s="82" t="s">
        <v>496</v>
      </c>
      <c r="I29" s="199" t="s">
        <v>498</v>
      </c>
      <c r="J29" s="174"/>
      <c r="K29" s="174"/>
      <c r="L29" s="175"/>
    </row>
    <row r="30" spans="2:12" ht="20" customHeight="1" x14ac:dyDescent="0.2">
      <c r="B30" s="80" t="s">
        <v>499</v>
      </c>
      <c r="C30" s="264" t="s">
        <v>185</v>
      </c>
      <c r="D30" s="174"/>
      <c r="E30" s="174"/>
      <c r="F30" s="174"/>
      <c r="G30" s="175"/>
      <c r="H30" s="66" t="s">
        <v>499</v>
      </c>
      <c r="I30" s="263" t="s">
        <v>500</v>
      </c>
      <c r="J30" s="174"/>
      <c r="K30" s="174"/>
      <c r="L30" s="175"/>
    </row>
    <row r="31" spans="2:12" ht="20" customHeight="1" x14ac:dyDescent="0.2">
      <c r="B31" s="81" t="s">
        <v>501</v>
      </c>
      <c r="C31" s="199" t="s">
        <v>502</v>
      </c>
      <c r="D31" s="174"/>
      <c r="E31" s="174"/>
      <c r="F31" s="174"/>
      <c r="G31" s="175"/>
      <c r="H31" s="82" t="s">
        <v>501</v>
      </c>
      <c r="I31" s="199" t="s">
        <v>503</v>
      </c>
      <c r="J31" s="174"/>
      <c r="K31" s="174"/>
      <c r="L31" s="175"/>
    </row>
    <row r="32" spans="2:12" ht="20" customHeight="1" x14ac:dyDescent="0.2">
      <c r="B32" s="80" t="s">
        <v>504</v>
      </c>
      <c r="C32" s="264" t="s">
        <v>505</v>
      </c>
      <c r="D32" s="174"/>
      <c r="E32" s="174"/>
      <c r="F32" s="174"/>
      <c r="G32" s="175"/>
      <c r="H32" s="66" t="s">
        <v>504</v>
      </c>
      <c r="I32" s="263" t="s">
        <v>505</v>
      </c>
      <c r="J32" s="174"/>
      <c r="K32" s="174"/>
      <c r="L32" s="175"/>
    </row>
    <row r="33" ht="20" customHeight="1" x14ac:dyDescent="0.2"/>
    <row r="34" ht="20" customHeight="1" x14ac:dyDescent="0.2"/>
    <row r="35" ht="20" customHeight="1" x14ac:dyDescent="0.2"/>
    <row r="36" ht="20" customHeight="1" x14ac:dyDescent="0.2"/>
    <row r="37" ht="20" customHeight="1" x14ac:dyDescent="0.2"/>
    <row r="38" ht="20" customHeight="1" x14ac:dyDescent="0.2"/>
    <row r="39" ht="20" customHeight="1" x14ac:dyDescent="0.2"/>
    <row r="40" ht="20" customHeight="1" x14ac:dyDescent="0.2"/>
    <row r="41" ht="20" customHeight="1" x14ac:dyDescent="0.2"/>
    <row r="42" ht="20" customHeight="1" x14ac:dyDescent="0.2"/>
    <row r="43" ht="20" customHeight="1" x14ac:dyDescent="0.2"/>
    <row r="44" ht="20" customHeight="1" x14ac:dyDescent="0.2"/>
    <row r="45" ht="20" customHeight="1" x14ac:dyDescent="0.2"/>
    <row r="46" ht="20" customHeight="1" x14ac:dyDescent="0.2"/>
    <row r="47" ht="20" customHeight="1" x14ac:dyDescent="0.2"/>
    <row r="48" ht="20" customHeight="1" x14ac:dyDescent="0.2"/>
    <row r="49" ht="20" customHeight="1" x14ac:dyDescent="0.2"/>
    <row r="50" ht="20" customHeight="1" x14ac:dyDescent="0.2"/>
    <row r="51" ht="20" customHeight="1" x14ac:dyDescent="0.2"/>
    <row r="52" ht="20" customHeight="1" x14ac:dyDescent="0.2"/>
    <row r="53" ht="20" customHeight="1" x14ac:dyDescent="0.2"/>
    <row r="54" ht="20" customHeight="1" x14ac:dyDescent="0.2"/>
    <row r="55" ht="20" customHeight="1" x14ac:dyDescent="0.2"/>
    <row r="56" ht="20" customHeight="1" x14ac:dyDescent="0.2"/>
    <row r="57" ht="20" customHeight="1" x14ac:dyDescent="0.2"/>
    <row r="58" ht="20" customHeight="1" x14ac:dyDescent="0.2"/>
    <row r="59" ht="20" customHeight="1" x14ac:dyDescent="0.2"/>
  </sheetData>
  <sheetProtection algorithmName="SHA-512" hashValue="EdbvcCCrODy09eCEuspp73Eov2Ysdi6ftDaGYPrcrOiOCuLUxweunoRfVmzKBXvQxF1cS/EXgl0YBBtL+MXbVw==" saltValue="0uiM8PhpSol+4NM1hx7Zkw==" spinCount="100000" sheet="1" objects="1" scenarios="1"/>
  <mergeCells count="22">
    <mergeCell ref="B2:L2"/>
    <mergeCell ref="I30:L30"/>
    <mergeCell ref="C31:G31"/>
    <mergeCell ref="I27:L27"/>
    <mergeCell ref="I26:L26"/>
    <mergeCell ref="C27:G27"/>
    <mergeCell ref="I24:L24"/>
    <mergeCell ref="H23:L23"/>
    <mergeCell ref="B4:L4"/>
    <mergeCell ref="C30:G30"/>
    <mergeCell ref="C24:G24"/>
    <mergeCell ref="B23:G23"/>
    <mergeCell ref="I29:L29"/>
    <mergeCell ref="C26:G26"/>
    <mergeCell ref="C29:G29"/>
    <mergeCell ref="I32:L32"/>
    <mergeCell ref="I25:L25"/>
    <mergeCell ref="I28:L28"/>
    <mergeCell ref="C32:G32"/>
    <mergeCell ref="C28:G28"/>
    <mergeCell ref="I31:L31"/>
    <mergeCell ref="C25:G25"/>
  </mergeCells>
  <dataValidations count="2">
    <dataValidation type="list" allowBlank="1" sqref="C5:K19" xr:uid="{00000000-0002-0000-0700-000000000000}">
      <formula1>"Đạt,Không Đạt"</formula1>
    </dataValidation>
    <dataValidation type="list" allowBlank="1" sqref="L5:L19" xr:uid="{00000000-0002-0000-0700-000001000000}">
      <formula1>"Accumulation,Distribution,Re-accumulation,Re-distribution,Chưa xác định"</formula1>
    </dataValidation>
  </dataValidation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B0F0"/>
  </sheetPr>
  <dimension ref="B1:F49"/>
  <sheetViews>
    <sheetView showGridLines="0" workbookViewId="0">
      <selection activeCell="AK39" sqref="AK39"/>
    </sheetView>
  </sheetViews>
  <sheetFormatPr baseColWidth="10" defaultColWidth="8.83203125" defaultRowHeight="15" x14ac:dyDescent="0.2"/>
  <cols>
    <col min="1" max="1" width="2" customWidth="1"/>
    <col min="2" max="2" width="22.6640625" customWidth="1"/>
    <col min="3" max="3" width="18.6640625" customWidth="1"/>
    <col min="4" max="5" width="19.33203125" customWidth="1"/>
    <col min="6" max="6" width="20.6640625" customWidth="1"/>
    <col min="7" max="7" width="2" customWidth="1"/>
  </cols>
  <sheetData>
    <row r="1" spans="2:6" ht="8" customHeight="1" x14ac:dyDescent="0.2"/>
    <row r="2" spans="2:6" ht="44" customHeight="1" x14ac:dyDescent="0.2">
      <c r="B2" s="238" t="s">
        <v>506</v>
      </c>
      <c r="C2" s="174"/>
      <c r="D2" s="174"/>
      <c r="E2" s="174"/>
      <c r="F2" s="175"/>
    </row>
    <row r="3" spans="2:6" ht="8" customHeight="1" x14ac:dyDescent="0.2"/>
    <row r="4" spans="2:6" ht="28" customHeight="1" x14ac:dyDescent="0.2">
      <c r="B4" s="15" t="s">
        <v>17</v>
      </c>
      <c r="C4" s="32" t="s">
        <v>507</v>
      </c>
      <c r="D4" s="32" t="s">
        <v>508</v>
      </c>
      <c r="E4" s="33" t="s">
        <v>509</v>
      </c>
      <c r="F4" s="34" t="s">
        <v>510</v>
      </c>
    </row>
    <row r="5" spans="2:6" ht="22" customHeight="1" x14ac:dyDescent="0.2">
      <c r="B5" s="57" t="s">
        <v>511</v>
      </c>
      <c r="C5" s="65" t="s">
        <v>512</v>
      </c>
      <c r="D5" s="65" t="s">
        <v>513</v>
      </c>
      <c r="E5" s="83" t="s">
        <v>514</v>
      </c>
      <c r="F5" s="84" t="s">
        <v>515</v>
      </c>
    </row>
    <row r="6" spans="2:6" ht="22" customHeight="1" x14ac:dyDescent="0.2">
      <c r="B6" s="85" t="s">
        <v>516</v>
      </c>
      <c r="C6" s="68" t="s">
        <v>517</v>
      </c>
      <c r="D6" s="68" t="s">
        <v>518</v>
      </c>
      <c r="E6" s="86" t="s">
        <v>519</v>
      </c>
      <c r="F6" s="87" t="s">
        <v>520</v>
      </c>
    </row>
    <row r="7" spans="2:6" ht="22" customHeight="1" x14ac:dyDescent="0.2">
      <c r="B7" s="72" t="s">
        <v>521</v>
      </c>
      <c r="C7" s="88" t="s">
        <v>522</v>
      </c>
      <c r="D7" s="79" t="s">
        <v>523</v>
      </c>
      <c r="E7" s="89" t="s">
        <v>515</v>
      </c>
      <c r="F7" s="90" t="s">
        <v>524</v>
      </c>
    </row>
    <row r="8" spans="2:6" ht="22" customHeight="1" x14ac:dyDescent="0.2">
      <c r="B8" s="72" t="s">
        <v>525</v>
      </c>
      <c r="C8" s="88" t="s">
        <v>526</v>
      </c>
      <c r="D8" s="79" t="s">
        <v>517</v>
      </c>
      <c r="E8" s="89" t="s">
        <v>527</v>
      </c>
      <c r="F8" s="90" t="s">
        <v>514</v>
      </c>
    </row>
    <row r="9" spans="2:6" ht="22" customHeight="1" x14ac:dyDescent="0.2"/>
    <row r="10" spans="2:6" ht="28" customHeight="1" x14ac:dyDescent="0.2">
      <c r="B10" s="265" t="s">
        <v>528</v>
      </c>
      <c r="C10" s="174"/>
      <c r="D10" s="174"/>
      <c r="E10" s="174"/>
      <c r="F10" s="175"/>
    </row>
    <row r="11" spans="2:6" ht="22" customHeight="1" x14ac:dyDescent="0.2"/>
    <row r="12" spans="2:6" ht="28" customHeight="1" x14ac:dyDescent="0.2">
      <c r="B12" s="267" t="s">
        <v>529</v>
      </c>
      <c r="C12" s="174"/>
      <c r="D12" s="174"/>
      <c r="E12" s="174"/>
      <c r="F12" s="175"/>
    </row>
    <row r="13" spans="2:6" ht="22" customHeight="1" x14ac:dyDescent="0.2">
      <c r="B13" s="72" t="s">
        <v>530</v>
      </c>
      <c r="C13" s="179" t="s">
        <v>531</v>
      </c>
      <c r="D13" s="174"/>
      <c r="E13" s="174"/>
      <c r="F13" s="175"/>
    </row>
    <row r="14" spans="2:6" ht="22" customHeight="1" x14ac:dyDescent="0.2">
      <c r="B14" s="67" t="s">
        <v>532</v>
      </c>
      <c r="C14" s="200" t="s">
        <v>533</v>
      </c>
      <c r="D14" s="174"/>
      <c r="E14" s="174"/>
      <c r="F14" s="175"/>
    </row>
    <row r="15" spans="2:6" ht="22" customHeight="1" x14ac:dyDescent="0.2">
      <c r="B15" s="72" t="s">
        <v>534</v>
      </c>
      <c r="C15" s="179" t="s">
        <v>535</v>
      </c>
      <c r="D15" s="174"/>
      <c r="E15" s="174"/>
      <c r="F15" s="175"/>
    </row>
    <row r="16" spans="2:6" ht="22" customHeight="1" x14ac:dyDescent="0.2">
      <c r="B16" s="67" t="s">
        <v>536</v>
      </c>
      <c r="C16" s="200" t="s">
        <v>537</v>
      </c>
      <c r="D16" s="174"/>
      <c r="E16" s="174"/>
      <c r="F16" s="175"/>
    </row>
    <row r="17" spans="2:6" ht="22" customHeight="1" x14ac:dyDescent="0.2">
      <c r="B17" s="72" t="s">
        <v>538</v>
      </c>
      <c r="C17" s="179" t="s">
        <v>539</v>
      </c>
      <c r="D17" s="174"/>
      <c r="E17" s="174"/>
      <c r="F17" s="175"/>
    </row>
    <row r="18" spans="2:6" ht="22" customHeight="1" x14ac:dyDescent="0.2">
      <c r="B18" s="67" t="s">
        <v>540</v>
      </c>
      <c r="C18" s="200" t="s">
        <v>541</v>
      </c>
      <c r="D18" s="174"/>
      <c r="E18" s="174"/>
      <c r="F18" s="175"/>
    </row>
    <row r="19" spans="2:6" ht="22" customHeight="1" x14ac:dyDescent="0.2"/>
    <row r="20" spans="2:6" ht="28" customHeight="1" x14ac:dyDescent="0.2">
      <c r="B20" s="202" t="s">
        <v>542</v>
      </c>
      <c r="C20" s="174"/>
      <c r="D20" s="174"/>
      <c r="E20" s="174"/>
      <c r="F20" s="175"/>
    </row>
    <row r="21" spans="2:6" ht="22" customHeight="1" x14ac:dyDescent="0.2">
      <c r="B21" s="79" t="s">
        <v>543</v>
      </c>
      <c r="C21" s="266" t="s">
        <v>544</v>
      </c>
      <c r="D21" s="174"/>
      <c r="E21" s="174"/>
      <c r="F21" s="175"/>
    </row>
    <row r="22" spans="2:6" ht="22" customHeight="1" x14ac:dyDescent="0.2">
      <c r="B22" s="79" t="s">
        <v>545</v>
      </c>
      <c r="C22" s="266" t="s">
        <v>546</v>
      </c>
      <c r="D22" s="174"/>
      <c r="E22" s="174"/>
      <c r="F22" s="175"/>
    </row>
    <row r="23" spans="2:6" ht="22" customHeight="1" x14ac:dyDescent="0.2">
      <c r="B23" s="91" t="s">
        <v>76</v>
      </c>
      <c r="C23" s="265" t="s">
        <v>547</v>
      </c>
      <c r="D23" s="174"/>
      <c r="E23" s="174"/>
      <c r="F23" s="175"/>
    </row>
    <row r="24" spans="2:6" ht="22" customHeight="1" x14ac:dyDescent="0.2"/>
    <row r="25" spans="2:6" ht="22" customHeight="1" x14ac:dyDescent="0.2"/>
    <row r="26" spans="2:6" ht="22" customHeight="1" x14ac:dyDescent="0.2"/>
    <row r="27" spans="2:6" ht="22" customHeight="1" x14ac:dyDescent="0.2"/>
    <row r="28" spans="2:6" ht="22" customHeight="1" x14ac:dyDescent="0.2"/>
    <row r="29" spans="2:6" ht="22" customHeight="1" x14ac:dyDescent="0.2"/>
    <row r="30" spans="2:6" ht="22" customHeight="1" x14ac:dyDescent="0.2"/>
    <row r="31" spans="2:6" ht="22" customHeight="1" x14ac:dyDescent="0.2"/>
    <row r="32" spans="2:6" ht="22" customHeight="1" x14ac:dyDescent="0.2"/>
    <row r="33" ht="22" customHeight="1" x14ac:dyDescent="0.2"/>
    <row r="34" ht="22" customHeight="1" x14ac:dyDescent="0.2"/>
    <row r="35" ht="22" customHeight="1" x14ac:dyDescent="0.2"/>
    <row r="36" ht="22" customHeight="1" x14ac:dyDescent="0.2"/>
    <row r="37" ht="22" customHeight="1" x14ac:dyDescent="0.2"/>
    <row r="38" ht="22" customHeight="1" x14ac:dyDescent="0.2"/>
    <row r="39" ht="22" customHeight="1" x14ac:dyDescent="0.2"/>
    <row r="40" ht="22" customHeight="1" x14ac:dyDescent="0.2"/>
    <row r="41" ht="22" customHeight="1" x14ac:dyDescent="0.2"/>
    <row r="42" ht="22" customHeight="1" x14ac:dyDescent="0.2"/>
    <row r="43" ht="22" customHeight="1" x14ac:dyDescent="0.2"/>
    <row r="44" ht="22" customHeight="1" x14ac:dyDescent="0.2"/>
    <row r="45" ht="22" customHeight="1" x14ac:dyDescent="0.2"/>
    <row r="46" ht="22" customHeight="1" x14ac:dyDescent="0.2"/>
    <row r="47" ht="22" customHeight="1" x14ac:dyDescent="0.2"/>
    <row r="48" ht="22" customHeight="1" x14ac:dyDescent="0.2"/>
    <row r="49" ht="22" customHeight="1" x14ac:dyDescent="0.2"/>
  </sheetData>
  <sheetProtection algorithmName="SHA-512" hashValue="VRqwA4CKLzcxzgw0WbNbp95A1rqZu00aJ9L27FNm2hxF6QiPavLOafNsw7h8P0RnySJ1bZKPS3c77N57xJzJzw==" saltValue="HaMPNE/QkxQYn/MYyqroig==" spinCount="100000" sheet="1" objects="1" scenarios="1"/>
  <mergeCells count="13">
    <mergeCell ref="C22:F22"/>
    <mergeCell ref="C18:F18"/>
    <mergeCell ref="B12:F12"/>
    <mergeCell ref="C23:F23"/>
    <mergeCell ref="C17:F17"/>
    <mergeCell ref="B2:F2"/>
    <mergeCell ref="B20:F20"/>
    <mergeCell ref="B10:F10"/>
    <mergeCell ref="C21:F21"/>
    <mergeCell ref="C16:F16"/>
    <mergeCell ref="C15:F15"/>
    <mergeCell ref="C14:F14"/>
    <mergeCell ref="C13:F13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7030A0"/>
  </sheetPr>
  <dimension ref="B1:G47"/>
  <sheetViews>
    <sheetView showGridLines="0" tabSelected="1" workbookViewId="0">
      <pane xSplit="2" ySplit="4" topLeftCell="C5" activePane="bottomRight" state="frozen"/>
      <selection pane="topRight"/>
      <selection pane="bottomLeft"/>
      <selection pane="bottomRight" activeCell="Y19" sqref="Y19"/>
    </sheetView>
  </sheetViews>
  <sheetFormatPr baseColWidth="10" defaultColWidth="8.83203125" defaultRowHeight="15" x14ac:dyDescent="0.2"/>
  <cols>
    <col min="1" max="1" width="2" customWidth="1"/>
    <col min="2" max="2" width="6" customWidth="1"/>
    <col min="3" max="4" width="16" customWidth="1"/>
    <col min="5" max="5" width="14" customWidth="1"/>
    <col min="6" max="6" width="16" customWidth="1"/>
    <col min="7" max="7" width="29.33203125" customWidth="1"/>
  </cols>
  <sheetData>
    <row r="1" spans="2:7" ht="8" customHeight="1" x14ac:dyDescent="0.2"/>
    <row r="2" spans="2:7" ht="44" customHeight="1" x14ac:dyDescent="0.2">
      <c r="C2" s="238" t="s">
        <v>548</v>
      </c>
      <c r="D2" s="174"/>
      <c r="E2" s="174"/>
      <c r="F2" s="175"/>
    </row>
    <row r="3" spans="2:7" ht="8" customHeight="1" x14ac:dyDescent="0.2"/>
    <row r="4" spans="2:7" ht="28" customHeight="1" x14ac:dyDescent="0.2">
      <c r="B4" s="15" t="s">
        <v>0</v>
      </c>
      <c r="C4" s="32" t="s">
        <v>20</v>
      </c>
      <c r="D4" s="32" t="s">
        <v>549</v>
      </c>
      <c r="E4" s="33" t="s">
        <v>550</v>
      </c>
      <c r="F4" s="15" t="s">
        <v>551</v>
      </c>
      <c r="G4" s="92" t="s">
        <v>552</v>
      </c>
    </row>
    <row r="5" spans="2:7" ht="20" customHeight="1" x14ac:dyDescent="0.2">
      <c r="B5" s="93">
        <v>1</v>
      </c>
      <c r="C5" s="156">
        <v>46118</v>
      </c>
      <c r="D5" s="157" t="s">
        <v>553</v>
      </c>
      <c r="E5" s="158">
        <v>1000</v>
      </c>
      <c r="F5" s="94">
        <f>SUM($E$5:E5)</f>
        <v>1000</v>
      </c>
      <c r="G5" s="159"/>
    </row>
    <row r="6" spans="2:7" ht="20" customHeight="1" x14ac:dyDescent="0.2">
      <c r="B6" s="93">
        <v>2</v>
      </c>
      <c r="C6" s="156">
        <v>46119</v>
      </c>
      <c r="D6" s="141" t="s">
        <v>553</v>
      </c>
      <c r="E6" s="158">
        <v>1000</v>
      </c>
      <c r="F6" s="94">
        <f>SUM($E$5:E6)</f>
        <v>2000</v>
      </c>
      <c r="G6" s="162"/>
    </row>
    <row r="7" spans="2:7" ht="20" customHeight="1" x14ac:dyDescent="0.2">
      <c r="B7" s="93">
        <v>3</v>
      </c>
      <c r="C7" s="156"/>
      <c r="D7" s="157"/>
      <c r="E7" s="163"/>
      <c r="F7" s="94">
        <f>SUM($E$5:E7)</f>
        <v>2000</v>
      </c>
      <c r="G7" s="159"/>
    </row>
    <row r="8" spans="2:7" ht="20" customHeight="1" x14ac:dyDescent="0.2">
      <c r="B8" s="93">
        <v>4</v>
      </c>
      <c r="C8" s="160"/>
      <c r="D8" s="141"/>
      <c r="E8" s="161"/>
      <c r="F8" s="94">
        <f>SUM($E$5:E8)</f>
        <v>2000</v>
      </c>
      <c r="G8" s="162"/>
    </row>
    <row r="9" spans="2:7" ht="20" customHeight="1" x14ac:dyDescent="0.2">
      <c r="B9" s="93">
        <v>5</v>
      </c>
      <c r="C9" s="156"/>
      <c r="D9" s="157"/>
      <c r="E9" s="163"/>
      <c r="F9" s="94">
        <f>SUM($E$5:E9)</f>
        <v>2000</v>
      </c>
      <c r="G9" s="159"/>
    </row>
    <row r="10" spans="2:7" ht="20" customHeight="1" x14ac:dyDescent="0.2">
      <c r="B10" s="93">
        <v>6</v>
      </c>
      <c r="C10" s="160"/>
      <c r="D10" s="141"/>
      <c r="E10" s="161"/>
      <c r="F10" s="94">
        <f>SUM($E$5:E10)</f>
        <v>2000</v>
      </c>
      <c r="G10" s="162"/>
    </row>
    <row r="11" spans="2:7" ht="20" customHeight="1" x14ac:dyDescent="0.2">
      <c r="B11" s="93">
        <v>7</v>
      </c>
      <c r="C11" s="156"/>
      <c r="D11" s="157"/>
      <c r="E11" s="163"/>
      <c r="F11" s="94">
        <f>SUM($E$5:E11)</f>
        <v>2000</v>
      </c>
      <c r="G11" s="159"/>
    </row>
    <row r="12" spans="2:7" ht="20" customHeight="1" x14ac:dyDescent="0.2">
      <c r="B12" s="93">
        <v>8</v>
      </c>
      <c r="C12" s="160"/>
      <c r="D12" s="141"/>
      <c r="E12" s="161"/>
      <c r="F12" s="94">
        <f>SUM($E$5:E12)</f>
        <v>2000</v>
      </c>
      <c r="G12" s="162"/>
    </row>
    <row r="13" spans="2:7" ht="20" customHeight="1" x14ac:dyDescent="0.2">
      <c r="B13" s="93">
        <v>9</v>
      </c>
      <c r="C13" s="156"/>
      <c r="D13" s="157"/>
      <c r="E13" s="163"/>
      <c r="F13" s="94">
        <f>SUM($E$5:E13)</f>
        <v>2000</v>
      </c>
      <c r="G13" s="159"/>
    </row>
    <row r="14" spans="2:7" ht="20" customHeight="1" x14ac:dyDescent="0.2">
      <c r="B14" s="93">
        <v>10</v>
      </c>
      <c r="C14" s="160"/>
      <c r="D14" s="141"/>
      <c r="E14" s="161"/>
      <c r="F14" s="94">
        <f>SUM($E$5:E14)</f>
        <v>2000</v>
      </c>
      <c r="G14" s="162"/>
    </row>
    <row r="15" spans="2:7" ht="20" customHeight="1" x14ac:dyDescent="0.2">
      <c r="B15" s="93">
        <v>11</v>
      </c>
      <c r="C15" s="156"/>
      <c r="D15" s="157"/>
      <c r="E15" s="163"/>
      <c r="F15" s="94">
        <f>SUM($E$5:E15)</f>
        <v>2000</v>
      </c>
      <c r="G15" s="159"/>
    </row>
    <row r="16" spans="2:7" ht="20" customHeight="1" x14ac:dyDescent="0.2">
      <c r="B16" s="93">
        <v>12</v>
      </c>
      <c r="C16" s="160"/>
      <c r="D16" s="141"/>
      <c r="E16" s="161"/>
      <c r="F16" s="94">
        <f>SUM($E$5:E16)</f>
        <v>2000</v>
      </c>
      <c r="G16" s="162"/>
    </row>
    <row r="17" spans="2:7" ht="20" customHeight="1" x14ac:dyDescent="0.2">
      <c r="B17" s="93">
        <v>13</v>
      </c>
      <c r="C17" s="156"/>
      <c r="D17" s="157"/>
      <c r="E17" s="163"/>
      <c r="F17" s="94">
        <f>SUM($E$5:E17)</f>
        <v>2000</v>
      </c>
      <c r="G17" s="159"/>
    </row>
    <row r="18" spans="2:7" ht="20" customHeight="1" x14ac:dyDescent="0.2">
      <c r="B18" s="93">
        <v>14</v>
      </c>
      <c r="C18" s="160"/>
      <c r="D18" s="141"/>
      <c r="E18" s="161"/>
      <c r="F18" s="94">
        <f>SUM($E$5:E18)</f>
        <v>2000</v>
      </c>
      <c r="G18" s="162"/>
    </row>
    <row r="19" spans="2:7" ht="20" customHeight="1" x14ac:dyDescent="0.2">
      <c r="B19" s="93">
        <v>15</v>
      </c>
      <c r="C19" s="156"/>
      <c r="D19" s="157"/>
      <c r="E19" s="163"/>
      <c r="F19" s="94">
        <f>SUM($E$5:E19)</f>
        <v>2000</v>
      </c>
      <c r="G19" s="159"/>
    </row>
    <row r="20" spans="2:7" ht="20" customHeight="1" x14ac:dyDescent="0.2">
      <c r="B20" s="93">
        <v>16</v>
      </c>
      <c r="C20" s="160"/>
      <c r="D20" s="141"/>
      <c r="E20" s="161"/>
      <c r="F20" s="94">
        <f>SUM($E$5:E20)</f>
        <v>2000</v>
      </c>
      <c r="G20" s="162"/>
    </row>
    <row r="21" spans="2:7" ht="20" customHeight="1" x14ac:dyDescent="0.2">
      <c r="B21" s="93">
        <v>17</v>
      </c>
      <c r="C21" s="156"/>
      <c r="D21" s="157"/>
      <c r="E21" s="163"/>
      <c r="F21" s="94">
        <f>SUM($E$5:E21)</f>
        <v>2000</v>
      </c>
      <c r="G21" s="159"/>
    </row>
    <row r="22" spans="2:7" ht="20" customHeight="1" x14ac:dyDescent="0.2">
      <c r="B22" s="93">
        <v>18</v>
      </c>
      <c r="C22" s="160"/>
      <c r="D22" s="141"/>
      <c r="E22" s="161"/>
      <c r="F22" s="94">
        <f>SUM($E$5:E22)</f>
        <v>2000</v>
      </c>
      <c r="G22" s="162"/>
    </row>
    <row r="23" spans="2:7" ht="20" customHeight="1" x14ac:dyDescent="0.2">
      <c r="B23" s="93">
        <v>19</v>
      </c>
      <c r="C23" s="156"/>
      <c r="D23" s="157"/>
      <c r="E23" s="163"/>
      <c r="F23" s="94">
        <f>SUM($E$5:E23)</f>
        <v>2000</v>
      </c>
      <c r="G23" s="159"/>
    </row>
    <row r="24" spans="2:7" ht="20" customHeight="1" x14ac:dyDescent="0.2">
      <c r="B24" s="93">
        <v>20</v>
      </c>
      <c r="C24" s="160"/>
      <c r="D24" s="141"/>
      <c r="E24" s="161"/>
      <c r="F24" s="94">
        <f>SUM($E$5:E24)</f>
        <v>2000</v>
      </c>
      <c r="G24" s="162"/>
    </row>
    <row r="25" spans="2:7" ht="20" customHeight="1" x14ac:dyDescent="0.2">
      <c r="B25" s="93">
        <v>21</v>
      </c>
      <c r="C25" s="156"/>
      <c r="D25" s="157"/>
      <c r="E25" s="163"/>
      <c r="F25" s="94">
        <f>SUM($E$5:E25)</f>
        <v>2000</v>
      </c>
      <c r="G25" s="159"/>
    </row>
    <row r="26" spans="2:7" ht="20" customHeight="1" x14ac:dyDescent="0.2">
      <c r="B26" s="93">
        <v>22</v>
      </c>
      <c r="C26" s="160"/>
      <c r="D26" s="141"/>
      <c r="E26" s="161"/>
      <c r="F26" s="94">
        <f>SUM($E$5:E26)</f>
        <v>2000</v>
      </c>
      <c r="G26" s="162"/>
    </row>
    <row r="27" spans="2:7" ht="20" customHeight="1" x14ac:dyDescent="0.2">
      <c r="B27" s="93">
        <v>23</v>
      </c>
      <c r="C27" s="156"/>
      <c r="D27" s="157"/>
      <c r="E27" s="163"/>
      <c r="F27" s="94">
        <f>SUM($E$5:E27)</f>
        <v>2000</v>
      </c>
      <c r="G27" s="159"/>
    </row>
    <row r="28" spans="2:7" ht="20" customHeight="1" x14ac:dyDescent="0.2">
      <c r="B28" s="93">
        <v>24</v>
      </c>
      <c r="C28" s="160"/>
      <c r="D28" s="141"/>
      <c r="E28" s="161"/>
      <c r="F28" s="94">
        <f>SUM($E$5:E28)</f>
        <v>2000</v>
      </c>
      <c r="G28" s="162"/>
    </row>
    <row r="29" spans="2:7" ht="20" customHeight="1" x14ac:dyDescent="0.2">
      <c r="B29" s="93">
        <v>25</v>
      </c>
      <c r="C29" s="156"/>
      <c r="D29" s="157"/>
      <c r="E29" s="163"/>
      <c r="F29" s="94">
        <f>SUM($E$5:E29)</f>
        <v>2000</v>
      </c>
      <c r="G29" s="159"/>
    </row>
    <row r="30" spans="2:7" ht="20" customHeight="1" x14ac:dyDescent="0.2">
      <c r="B30" s="93">
        <v>26</v>
      </c>
      <c r="C30" s="160"/>
      <c r="D30" s="141"/>
      <c r="E30" s="161"/>
      <c r="F30" s="94">
        <f>SUM($E$5:E30)</f>
        <v>2000</v>
      </c>
      <c r="G30" s="162"/>
    </row>
    <row r="31" spans="2:7" ht="20" customHeight="1" x14ac:dyDescent="0.2">
      <c r="B31" s="93">
        <v>27</v>
      </c>
      <c r="C31" s="156"/>
      <c r="D31" s="157"/>
      <c r="E31" s="163"/>
      <c r="F31" s="94">
        <f>SUM($E$5:E31)</f>
        <v>2000</v>
      </c>
      <c r="G31" s="159"/>
    </row>
    <row r="32" spans="2:7" ht="20" customHeight="1" x14ac:dyDescent="0.2">
      <c r="B32" s="93">
        <v>28</v>
      </c>
      <c r="C32" s="160"/>
      <c r="D32" s="141"/>
      <c r="E32" s="161"/>
      <c r="F32" s="94">
        <f>SUM($E$5:E32)</f>
        <v>2000</v>
      </c>
      <c r="G32" s="162"/>
    </row>
    <row r="33" spans="2:7" ht="20" customHeight="1" x14ac:dyDescent="0.2">
      <c r="B33" s="93">
        <v>29</v>
      </c>
      <c r="C33" s="156"/>
      <c r="D33" s="157"/>
      <c r="E33" s="163"/>
      <c r="F33" s="94">
        <f>SUM($E$5:E33)</f>
        <v>2000</v>
      </c>
      <c r="G33" s="159"/>
    </row>
    <row r="34" spans="2:7" ht="20" customHeight="1" x14ac:dyDescent="0.2">
      <c r="B34" s="93">
        <v>30</v>
      </c>
      <c r="C34" s="160"/>
      <c r="D34" s="141"/>
      <c r="E34" s="161"/>
      <c r="F34" s="94">
        <f>SUM($E$5:E34)</f>
        <v>2000</v>
      </c>
      <c r="G34" s="162"/>
    </row>
    <row r="35" spans="2:7" ht="20" customHeight="1" x14ac:dyDescent="0.2">
      <c r="B35" s="93">
        <v>31</v>
      </c>
      <c r="C35" s="156"/>
      <c r="D35" s="157"/>
      <c r="E35" s="163"/>
      <c r="F35" s="94">
        <f>SUM($E$5:E35)</f>
        <v>2000</v>
      </c>
      <c r="G35" s="159"/>
    </row>
    <row r="36" spans="2:7" ht="20" customHeight="1" x14ac:dyDescent="0.2">
      <c r="B36" s="93">
        <v>32</v>
      </c>
      <c r="C36" s="160"/>
      <c r="D36" s="141"/>
      <c r="E36" s="161"/>
      <c r="F36" s="94">
        <f>SUM($E$5:E36)</f>
        <v>2000</v>
      </c>
      <c r="G36" s="162"/>
    </row>
    <row r="37" spans="2:7" ht="20" customHeight="1" x14ac:dyDescent="0.2">
      <c r="B37" s="93">
        <v>33</v>
      </c>
      <c r="C37" s="156"/>
      <c r="D37" s="157"/>
      <c r="E37" s="163"/>
      <c r="F37" s="94">
        <f>SUM($E$5:E37)</f>
        <v>2000</v>
      </c>
      <c r="G37" s="159"/>
    </row>
    <row r="38" spans="2:7" ht="20" customHeight="1" x14ac:dyDescent="0.2">
      <c r="B38" s="93">
        <v>34</v>
      </c>
      <c r="C38" s="160"/>
      <c r="D38" s="141"/>
      <c r="E38" s="161"/>
      <c r="F38" s="94">
        <f>SUM($E$5:E38)</f>
        <v>2000</v>
      </c>
      <c r="G38" s="162"/>
    </row>
    <row r="39" spans="2:7" ht="20" customHeight="1" x14ac:dyDescent="0.2">
      <c r="B39" s="93">
        <v>35</v>
      </c>
      <c r="C39" s="156"/>
      <c r="D39" s="157"/>
      <c r="E39" s="163"/>
      <c r="F39" s="94">
        <f>SUM($E$5:E39)</f>
        <v>2000</v>
      </c>
      <c r="G39" s="159"/>
    </row>
    <row r="40" spans="2:7" ht="20" customHeight="1" x14ac:dyDescent="0.2">
      <c r="B40" s="93">
        <v>36</v>
      </c>
      <c r="C40" s="160"/>
      <c r="D40" s="141"/>
      <c r="E40" s="161"/>
      <c r="F40" s="94">
        <f>SUM($E$5:E40)</f>
        <v>2000</v>
      </c>
      <c r="G40" s="162"/>
    </row>
    <row r="41" spans="2:7" ht="20" customHeight="1" x14ac:dyDescent="0.2">
      <c r="B41" s="93">
        <v>37</v>
      </c>
      <c r="C41" s="156"/>
      <c r="D41" s="157"/>
      <c r="E41" s="163"/>
      <c r="F41" s="94">
        <f>SUM($E$5:E41)</f>
        <v>2000</v>
      </c>
      <c r="G41" s="159"/>
    </row>
    <row r="42" spans="2:7" ht="20" customHeight="1" x14ac:dyDescent="0.2">
      <c r="B42" s="93">
        <v>38</v>
      </c>
      <c r="C42" s="160"/>
      <c r="D42" s="141"/>
      <c r="E42" s="161"/>
      <c r="F42" s="94">
        <f>SUM($E$5:E42)</f>
        <v>2000</v>
      </c>
      <c r="G42" s="162"/>
    </row>
    <row r="43" spans="2:7" ht="20" customHeight="1" x14ac:dyDescent="0.2">
      <c r="B43" s="93">
        <v>39</v>
      </c>
      <c r="C43" s="156"/>
      <c r="D43" s="164">
        <f>F45</f>
        <v>2000</v>
      </c>
      <c r="E43" s="163"/>
      <c r="F43" s="94">
        <f>SUM($E$5:E43)</f>
        <v>2000</v>
      </c>
      <c r="G43" s="159"/>
    </row>
    <row r="44" spans="2:7" ht="20" customHeight="1" x14ac:dyDescent="0.2">
      <c r="B44" s="93">
        <v>40</v>
      </c>
      <c r="C44" s="160"/>
      <c r="D44" s="141"/>
      <c r="E44" s="161"/>
      <c r="F44" s="94">
        <f>SUM($E$5:E44)</f>
        <v>2000</v>
      </c>
      <c r="G44" s="162"/>
    </row>
    <row r="45" spans="2:7" ht="28" customHeight="1" x14ac:dyDescent="0.2">
      <c r="B45" s="95"/>
      <c r="C45" s="196" t="s">
        <v>554</v>
      </c>
      <c r="D45" s="174"/>
      <c r="E45" s="175"/>
      <c r="F45" s="96">
        <f>SUM(E5:E44)</f>
        <v>2000</v>
      </c>
      <c r="G45" s="95"/>
    </row>
    <row r="47" spans="2:7" ht="28" customHeight="1" x14ac:dyDescent="0.2">
      <c r="C47" s="268" t="s">
        <v>555</v>
      </c>
      <c r="D47" s="174"/>
      <c r="E47" s="174"/>
      <c r="F47" s="175"/>
    </row>
  </sheetData>
  <sheetProtection algorithmName="SHA-512" hashValue="wZ4PxXQFndP7WwoiDkyv+gz/3xWauNGxKFNV0AYWUvIgbjXQACg52AvCupYtxRWuwmTarmPFtHTReigXWPQK+Q==" saltValue="dgS9yIqRNjQQtjO1vyI4BA==" spinCount="100000" sheet="1" objects="1" scenarios="1"/>
  <mergeCells count="3">
    <mergeCell ref="C47:F47"/>
    <mergeCell ref="C2:F2"/>
    <mergeCell ref="C45:E45"/>
  </mergeCells>
  <dataValidations count="1">
    <dataValidation type="list" allowBlank="1" sqref="D5:D44" xr:uid="{00000000-0002-0000-0900-000000000000}">
      <formula1>"Nạp,Rút"</formula1>
    </dataValidation>
  </dataValidation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595959"/>
  </sheetPr>
  <dimension ref="A1:C26"/>
  <sheetViews>
    <sheetView showGridLines="0" workbookViewId="0"/>
  </sheetViews>
  <sheetFormatPr baseColWidth="10" defaultColWidth="8.83203125" defaultRowHeight="15" x14ac:dyDescent="0.2"/>
  <sheetData>
    <row r="1" spans="1:3" x14ac:dyDescent="0.2">
      <c r="A1" t="s">
        <v>3</v>
      </c>
      <c r="C1" t="s">
        <v>16</v>
      </c>
    </row>
    <row r="2" spans="1:3" x14ac:dyDescent="0.2">
      <c r="A2" t="s">
        <v>463</v>
      </c>
      <c r="C2" t="s">
        <v>26</v>
      </c>
    </row>
    <row r="3" spans="1:3" x14ac:dyDescent="0.2">
      <c r="A3" t="s">
        <v>23</v>
      </c>
      <c r="C3" t="s">
        <v>29</v>
      </c>
    </row>
    <row r="4" spans="1:3" x14ac:dyDescent="0.2">
      <c r="A4" t="s">
        <v>467</v>
      </c>
      <c r="C4" t="s">
        <v>556</v>
      </c>
    </row>
    <row r="5" spans="1:3" x14ac:dyDescent="0.2">
      <c r="A5" t="s">
        <v>27</v>
      </c>
      <c r="C5" t="s">
        <v>557</v>
      </c>
    </row>
    <row r="6" spans="1:3" x14ac:dyDescent="0.2">
      <c r="A6" t="s">
        <v>468</v>
      </c>
      <c r="C6" t="s">
        <v>75</v>
      </c>
    </row>
    <row r="7" spans="1:3" x14ac:dyDescent="0.2">
      <c r="A7" t="s">
        <v>469</v>
      </c>
      <c r="C7" t="s">
        <v>558</v>
      </c>
    </row>
    <row r="8" spans="1:3" x14ac:dyDescent="0.2">
      <c r="A8" t="s">
        <v>470</v>
      </c>
      <c r="C8" t="s">
        <v>78</v>
      </c>
    </row>
    <row r="9" spans="1:3" x14ac:dyDescent="0.2">
      <c r="A9" t="s">
        <v>471</v>
      </c>
      <c r="C9" t="s">
        <v>559</v>
      </c>
    </row>
    <row r="10" spans="1:3" x14ac:dyDescent="0.2">
      <c r="A10" t="s">
        <v>472</v>
      </c>
      <c r="C10" t="s">
        <v>80</v>
      </c>
    </row>
    <row r="11" spans="1:3" x14ac:dyDescent="0.2">
      <c r="A11" t="s">
        <v>473</v>
      </c>
      <c r="C11" t="s">
        <v>82</v>
      </c>
    </row>
    <row r="12" spans="1:3" x14ac:dyDescent="0.2">
      <c r="A12" t="s">
        <v>474</v>
      </c>
      <c r="C12" t="s">
        <v>83</v>
      </c>
    </row>
    <row r="13" spans="1:3" x14ac:dyDescent="0.2">
      <c r="A13" t="s">
        <v>475</v>
      </c>
      <c r="C13" t="s">
        <v>84</v>
      </c>
    </row>
    <row r="14" spans="1:3" x14ac:dyDescent="0.2">
      <c r="A14" t="s">
        <v>465</v>
      </c>
      <c r="C14" t="s">
        <v>85</v>
      </c>
    </row>
    <row r="15" spans="1:3" x14ac:dyDescent="0.2">
      <c r="A15" t="s">
        <v>560</v>
      </c>
      <c r="C15" t="s">
        <v>561</v>
      </c>
    </row>
    <row r="16" spans="1:3" x14ac:dyDescent="0.2">
      <c r="A16" t="s">
        <v>30</v>
      </c>
      <c r="C16" t="s">
        <v>562</v>
      </c>
    </row>
    <row r="17" spans="1:3" x14ac:dyDescent="0.2">
      <c r="A17" t="s">
        <v>476</v>
      </c>
      <c r="C17" t="s">
        <v>563</v>
      </c>
    </row>
    <row r="18" spans="1:3" x14ac:dyDescent="0.2">
      <c r="A18" t="s">
        <v>477</v>
      </c>
      <c r="C18" t="s">
        <v>564</v>
      </c>
    </row>
    <row r="19" spans="1:3" x14ac:dyDescent="0.2">
      <c r="A19" t="s">
        <v>478</v>
      </c>
      <c r="C19" t="s">
        <v>311</v>
      </c>
    </row>
    <row r="20" spans="1:3" x14ac:dyDescent="0.2">
      <c r="A20" t="s">
        <v>565</v>
      </c>
      <c r="C20" t="s">
        <v>314</v>
      </c>
    </row>
    <row r="21" spans="1:3" x14ac:dyDescent="0.2">
      <c r="A21" t="s">
        <v>566</v>
      </c>
      <c r="C21" t="s">
        <v>567</v>
      </c>
    </row>
    <row r="22" spans="1:3" x14ac:dyDescent="0.2">
      <c r="A22" t="s">
        <v>568</v>
      </c>
      <c r="C22" t="s">
        <v>569</v>
      </c>
    </row>
    <row r="23" spans="1:3" x14ac:dyDescent="0.2">
      <c r="C23" t="s">
        <v>570</v>
      </c>
    </row>
    <row r="24" spans="1:3" x14ac:dyDescent="0.2">
      <c r="C24" t="s">
        <v>571</v>
      </c>
    </row>
    <row r="25" spans="1:3" x14ac:dyDescent="0.2">
      <c r="C25" t="s">
        <v>572</v>
      </c>
    </row>
    <row r="26" spans="1:3" x14ac:dyDescent="0.2">
      <c r="C26" t="s">
        <v>573</v>
      </c>
    </row>
  </sheetData>
  <sheetProtection password="A6EF" sheet="1" formatCells="0" formatColumns="0" formatRows="0" insertColumns="0" insertRows="0" insertHyperlinks="0" deleteColumns="0" deleteRows="0" selectLockedCells="1" sort="0" autoFilter="0" pivotTables="0" selectUnlockedCells="1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📝 Nhật Ký</vt:lpstr>
      <vt:lpstr>📊 Dashboard</vt:lpstr>
      <vt:lpstr>📈 Biểu Đồ</vt:lpstr>
      <vt:lpstr>✅ Checklist</vt:lpstr>
      <vt:lpstr>📋 Review Tháng</vt:lpstr>
      <vt:lpstr>💰 Quản Lý Vốn</vt:lpstr>
      <vt:lpstr>📊 Lãi Kép</vt:lpstr>
      <vt:lpstr>🔬 Wyckoff Tests</vt:lpstr>
      <vt:lpstr>⏰ Time Trading</vt:lpstr>
      <vt:lpstr>🏦 Lịch Sử Vốn</vt:lpstr>
      <vt:lpstr>⚙️ Config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Huy Vu</cp:lastModifiedBy>
  <dcterms:created xsi:type="dcterms:W3CDTF">2026-04-06T00:04:56Z</dcterms:created>
  <dcterms:modified xsi:type="dcterms:W3CDTF">2026-04-06T02:37:39Z</dcterms:modified>
</cp:coreProperties>
</file>